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637" activeTab="2"/>
  </bookViews>
  <sheets>
    <sheet name="ob" sheetId="1" r:id="rId1"/>
    <sheet name="n1-1" sheetId="2" r:id="rId2"/>
    <sheet name="Ամփ" sheetId="3" r:id="rId3"/>
    <sheet name="Лист1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<sst xmlns="http://schemas.openxmlformats.org/spreadsheetml/2006/main" count="572" uniqueCount="236">
  <si>
    <t xml:space="preserve">ըստ նորմերի </t>
  </si>
  <si>
    <t xml:space="preserve">գործող գներով </t>
  </si>
  <si>
    <t>Ընդհանուր արժեքը /հազ.դրամ/</t>
  </si>
  <si>
    <t xml:space="preserve">Արժեքը </t>
  </si>
  <si>
    <t xml:space="preserve">Ընդհանուր արժեքը  </t>
  </si>
  <si>
    <t>ինֆ.</t>
  </si>
  <si>
    <t>Աշխատավարձը</t>
  </si>
  <si>
    <t>Ամբողջ</t>
  </si>
  <si>
    <t>Դռներ</t>
  </si>
  <si>
    <t>Հիմնավորում</t>
  </si>
  <si>
    <t>Մեխանիզմների շահագործման արժեքը</t>
  </si>
  <si>
    <t>Նյութերի արժեքը /հազ.դրամ/</t>
  </si>
  <si>
    <t>Նյութերի ծախսը և արժեքը 1 միավորի</t>
  </si>
  <si>
    <t>Չափման միավոր</t>
  </si>
  <si>
    <t>Չափի միավոր</t>
  </si>
  <si>
    <t>Պատեր</t>
  </si>
  <si>
    <t>Վերադիր ծախսեր 13.3%</t>
  </si>
  <si>
    <t>Նախահաշիվ N 1</t>
  </si>
  <si>
    <t>հազար դրամ</t>
  </si>
  <si>
    <t xml:space="preserve">Ամփոփ նախահաշվի գումարը կազմում է  </t>
  </si>
  <si>
    <t>Այլ ծախսեր</t>
  </si>
  <si>
    <t>Ընդհանուր նախահաշվային արժեքը /հազ.դրամ/</t>
  </si>
  <si>
    <t>Ընդամենը Գլ. 2-ով</t>
  </si>
  <si>
    <t>Կազմեց</t>
  </si>
  <si>
    <t>ՀՀ</t>
  </si>
  <si>
    <t>Գլուխ 2.  Հիմնական օբյեկտների շինարարություն</t>
  </si>
  <si>
    <t>ԱԱՀ</t>
  </si>
  <si>
    <t>Մոնտաժա-յին աշխատանք</t>
  </si>
  <si>
    <t>Նախահաշվային արժեքը /հազ. դրամ/</t>
  </si>
  <si>
    <t>Շինարարական աշխատանքներ</t>
  </si>
  <si>
    <t>Ա Մ Փ Ո Փ     Ն Ա Խ Ա Հ Ա Շ Ի Վ</t>
  </si>
  <si>
    <t>Օբյեկտի և տեղային նախահաշիվների համարները</t>
  </si>
  <si>
    <t>Գլուխների, օբյեկտների և լոկալ նախահաշիվների ու ծախսերի անվանումը</t>
  </si>
  <si>
    <t xml:space="preserve">Օբյեկտային նախահաշվի գումարը կազմում է </t>
  </si>
  <si>
    <t>Աշխատանքների անվանումը</t>
  </si>
  <si>
    <t xml:space="preserve">Մոնտաժային աշխատանք </t>
  </si>
  <si>
    <t>Նախահաշիվ N</t>
  </si>
  <si>
    <t>Նախահաշիվ N1-1</t>
  </si>
  <si>
    <t>Սարքավորում</t>
  </si>
  <si>
    <t xml:space="preserve">Օ Բ Յ Ե Կ Տ Ա Յ Ի Ն     Ն Ա Խ Ա Հ Ա Շ Ի Վ </t>
  </si>
  <si>
    <t>խիճ</t>
  </si>
  <si>
    <t>N</t>
  </si>
  <si>
    <t>Աշխատանքի անվանումը</t>
  </si>
  <si>
    <t>Ընդամենը</t>
  </si>
  <si>
    <t>Անվանումը</t>
  </si>
  <si>
    <t>Քանակը</t>
  </si>
  <si>
    <t>մ</t>
  </si>
  <si>
    <t>հատ</t>
  </si>
  <si>
    <t>Ընդհանուր շինարարական աշխատանքներ</t>
  </si>
  <si>
    <t>Նախահաշվային արժեքը կազմում է</t>
  </si>
  <si>
    <t>հազ. դրամ</t>
  </si>
  <si>
    <t>Մեկ միավորի ընդհանուր արժեքը                                                                (հազ. դրամ)</t>
  </si>
  <si>
    <t>Այդ թվում`</t>
  </si>
  <si>
    <t>Ինֆ.  Տեղ. գլուխ, տող</t>
  </si>
  <si>
    <t>խմ</t>
  </si>
  <si>
    <t>խամքար</t>
  </si>
  <si>
    <t>տն</t>
  </si>
  <si>
    <t>կգ</t>
  </si>
  <si>
    <t>շաղախ</t>
  </si>
  <si>
    <t>բիտում</t>
  </si>
  <si>
    <t>Ե/բ կոնստրուկցիաներ</t>
  </si>
  <si>
    <t>կաղապարամած</t>
  </si>
  <si>
    <t>քմ</t>
  </si>
  <si>
    <t>տախտակ</t>
  </si>
  <si>
    <t>էլեկտրոդ</t>
  </si>
  <si>
    <t>բետոն</t>
  </si>
  <si>
    <t>ամրան</t>
  </si>
  <si>
    <t>8--140</t>
  </si>
  <si>
    <t>բլոկ</t>
  </si>
  <si>
    <t>խ.մ.</t>
  </si>
  <si>
    <t>շուկա</t>
  </si>
  <si>
    <t>թիթեղ</t>
  </si>
  <si>
    <t>Հատակ</t>
  </si>
  <si>
    <t>11--11</t>
  </si>
  <si>
    <t>2-30</t>
  </si>
  <si>
    <t>2-32</t>
  </si>
  <si>
    <t>6-21</t>
  </si>
  <si>
    <t>բազալտե սալիկ</t>
  </si>
  <si>
    <t>6-173</t>
  </si>
  <si>
    <t>տ</t>
  </si>
  <si>
    <t>8--169</t>
  </si>
  <si>
    <t>միջնորմ.սալ</t>
  </si>
  <si>
    <t>իզոգամ</t>
  </si>
  <si>
    <t>Ն Ա Խ Ա Հ Ա Շ Ի Վ  N 1-1</t>
  </si>
  <si>
    <t xml:space="preserve">ամրան </t>
  </si>
  <si>
    <t>2-41</t>
  </si>
  <si>
    <t>2--41</t>
  </si>
  <si>
    <t>1--8</t>
  </si>
  <si>
    <t>ք.մ.</t>
  </si>
  <si>
    <t>ինֆ</t>
  </si>
  <si>
    <t xml:space="preserve">պտուտակ </t>
  </si>
  <si>
    <t>8--11</t>
  </si>
  <si>
    <t>Խճի նախապատրաստական շերտի կառուցում հիմքերի տակ</t>
  </si>
  <si>
    <t xml:space="preserve">բետոն </t>
  </si>
  <si>
    <t>5-297</t>
  </si>
  <si>
    <t>5-298</t>
  </si>
  <si>
    <t xml:space="preserve">բետոն  </t>
  </si>
  <si>
    <t>չորսու</t>
  </si>
  <si>
    <t>խ.մ</t>
  </si>
  <si>
    <t>Միջնորմների կառուցում 20,0 սմ հաստությամբ խարամաբետոնե բլոկներով 400*200*200</t>
  </si>
  <si>
    <t>« Հաստատում եմ»</t>
  </si>
  <si>
    <t>Սարքավորում, հարարանք և գույք</t>
  </si>
  <si>
    <t>Նախահաշիվ N 2</t>
  </si>
  <si>
    <t>Արտաքին ջրամատակարարում</t>
  </si>
  <si>
    <t>13-148</t>
  </si>
  <si>
    <t xml:space="preserve">Արտաքին պատերի երեսապատում բազալտե  սալիկներով 30 մմ հաստությամբ </t>
  </si>
  <si>
    <t>1--12</t>
  </si>
  <si>
    <t>2-54</t>
  </si>
  <si>
    <t>8--22</t>
  </si>
  <si>
    <t xml:space="preserve">Հիմքերի հիդրոմեկուսացում իզոգամով երկու շերտ </t>
  </si>
  <si>
    <t>Հիմքեր</t>
  </si>
  <si>
    <t>Շահույթ 11%</t>
  </si>
  <si>
    <t xml:space="preserve">Գլուխ 8.                 </t>
  </si>
  <si>
    <t>Ժամանակավոր շինություններ և կառույցներ</t>
  </si>
  <si>
    <t>Ընդամենը Գլ. 2-8-ով</t>
  </si>
  <si>
    <t xml:space="preserve">Գլուխ 9.   Այլ աշխատանքներ և ծախսեր </t>
  </si>
  <si>
    <t xml:space="preserve">Կլիմայական պայմանների ազդեցությունը հաշվի առնող ծախսեր </t>
  </si>
  <si>
    <t>Ընդամենը Գլ. 2-10-ով</t>
  </si>
  <si>
    <t>ՀՀ կառավարության որոշում N879-Ն 23.06.2011թ. 0.15%</t>
  </si>
  <si>
    <t xml:space="preserve">Շին մոնտաժային աշխատանքների ավարտից հետո տարածքի մաքրման և գոյացած /ոչ ընթացիկ/ աղբի տեղափոխման աշխատանքների ծախսեր </t>
  </si>
  <si>
    <t>Փոքր ծավալի շին. մոնտաժային աշխատանքների համար նախատեսնվող լրացուցիչ ծախսեր</t>
  </si>
  <si>
    <t xml:space="preserve">ՀՀ կառավարության որոշում N879-Ն 23.06.2011թ. </t>
  </si>
  <si>
    <t>Գլուխ 10. Տնօրինության պարտավորություններ</t>
  </si>
  <si>
    <t>Տեխնիկական հսկողություն</t>
  </si>
  <si>
    <t>Հեղինակային հսկողություն</t>
  </si>
  <si>
    <t>Չնախատեսված ծախսեր</t>
  </si>
  <si>
    <t>Այդ թվում հետ վերադարձվող գումար</t>
  </si>
  <si>
    <t>ՀՀ քաղշին. նախ-ի հրաման N68 21.08.01 1,0%</t>
  </si>
  <si>
    <t>ՀՀ քաղշին. նախ-ի հրաման N69 21.08.01 0.6%</t>
  </si>
  <si>
    <t>ՀՀ կառավարության որոշում N879-Ն 23.06.2011թ. 2,0%</t>
  </si>
  <si>
    <t xml:space="preserve">Կազմված է 2022թ. գներով                  Գ.աշխ.= </t>
  </si>
  <si>
    <t xml:space="preserve">/ ինֆորմացիոն տեղեկագիր N 05 /          Գ.մեք.= </t>
  </si>
  <si>
    <t>6-160</t>
  </si>
  <si>
    <t>2--30</t>
  </si>
  <si>
    <t>21-1785</t>
  </si>
  <si>
    <t>Ամրան Ф 8A I</t>
  </si>
  <si>
    <t>ամրան A I</t>
  </si>
  <si>
    <t>ամրան A III</t>
  </si>
  <si>
    <t>5-304</t>
  </si>
  <si>
    <t xml:space="preserve">Միաձույլ ե/բետոնե հիմնային հեծանների կառուցում  Բ 15 դասի բետոնով </t>
  </si>
  <si>
    <t>Ամրան  Ф 14 A III</t>
  </si>
  <si>
    <t>Խամքարաբետոնե ժապավենային հիմքերի կառուցում Բ12,5 դասի բետոնով</t>
  </si>
  <si>
    <t>6-106</t>
  </si>
  <si>
    <t xml:space="preserve">Միաձույլ ե/բետոնե սյուների կառուցում  Բ 20 դասի բետոնով </t>
  </si>
  <si>
    <t>6-436</t>
  </si>
  <si>
    <t>Ամրան Ф8 AI</t>
  </si>
  <si>
    <t>5-305</t>
  </si>
  <si>
    <t>6-161</t>
  </si>
  <si>
    <t>Ամրան Ф18 AIII</t>
  </si>
  <si>
    <t xml:space="preserve">Միաձույլ ե/բետոնե ծածկի սալերի կառուցում  Բ 20 դասի բետոնով </t>
  </si>
  <si>
    <t>Ամրան Ф10 AI</t>
  </si>
  <si>
    <t>Ամրան Ф6 AI</t>
  </si>
  <si>
    <t xml:space="preserve">Ամրան Ф20 AIII </t>
  </si>
  <si>
    <t>Թիթեղ 100x100x16</t>
  </si>
  <si>
    <t xml:space="preserve">Միաձույլ ե/բետոնե պարզունակների կառուցում  Բ 20 դասի բետոնով </t>
  </si>
  <si>
    <t>6-168</t>
  </si>
  <si>
    <t>Միաձույլ ե/բետոնե գոտու կառուցում B20 դասի</t>
  </si>
  <si>
    <t>փայտանյութ</t>
  </si>
  <si>
    <t>Ամրան Ф 6 A-1</t>
  </si>
  <si>
    <t>Ամրան  Ф12A-III</t>
  </si>
  <si>
    <t>Հրշեջ ավտոմեքենայի ավտոտնակի կառուցում</t>
  </si>
  <si>
    <t xml:space="preserve">Արտաքին պատի կառուցում  20,0 սմ հաստությամբ խարամաբետոնե բլոկներով 400*200*200 </t>
  </si>
  <si>
    <t>Պատերի կառուցում 150մմ հաստությամբ  (400x200x150)</t>
  </si>
  <si>
    <t>26-38</t>
  </si>
  <si>
    <t>Պենոպլեքս 5.0սմ</t>
  </si>
  <si>
    <t xml:space="preserve">Պատերի  ջերմամեկուսցում պենոպլեքսե սալիկներով 50 մմ հաստությամբ </t>
  </si>
  <si>
    <t>Մետաղական դարպասի տեղադրում</t>
  </si>
  <si>
    <t>9--49</t>
  </si>
  <si>
    <t>Մետաղական դարպասի արժեքը</t>
  </si>
  <si>
    <t>դարպաս</t>
  </si>
  <si>
    <t>9-24</t>
  </si>
  <si>
    <t>7-529</t>
  </si>
  <si>
    <t>6-435</t>
  </si>
  <si>
    <t>5-302</t>
  </si>
  <si>
    <t>5-296</t>
  </si>
  <si>
    <t>2-28</t>
  </si>
  <si>
    <t>4-281</t>
  </si>
  <si>
    <t>20-1759</t>
  </si>
  <si>
    <t>6-526</t>
  </si>
  <si>
    <t>5-404</t>
  </si>
  <si>
    <t xml:space="preserve"> 5--301</t>
  </si>
  <si>
    <t>2-53</t>
  </si>
  <si>
    <t>Տանիքի ծածկույթի կառուցում  պրոֆիլավոր ցինկապատ  թիթեղով 0,7մմ հաստությամբ КП 21-0,7</t>
  </si>
  <si>
    <t>7--466</t>
  </si>
  <si>
    <t>Կազմված է 2022թ. N5 տեղեկագրի  գներով</t>
  </si>
  <si>
    <t xml:space="preserve"> Էլեկտրական լուսավորություն</t>
  </si>
  <si>
    <t xml:space="preserve">Կազմված է 2022 թ. գներով                  Գ.աշխ.= </t>
  </si>
  <si>
    <t>հազ.դրամ</t>
  </si>
  <si>
    <t>Ներքին էլեկտրական լուսավորություն</t>
  </si>
  <si>
    <t>8-612-5</t>
  </si>
  <si>
    <t>Էլ բաշխիչ վահանակի տեղադրում պլաստմասե  ավտոմատ անջատիչով</t>
  </si>
  <si>
    <t>արկղ</t>
  </si>
  <si>
    <t>անջատիչ</t>
  </si>
  <si>
    <t>8-603-1</t>
  </si>
  <si>
    <t>լուսատու</t>
  </si>
  <si>
    <t>8-604-1</t>
  </si>
  <si>
    <t>8-591-2</t>
  </si>
  <si>
    <t>16-1511</t>
  </si>
  <si>
    <t>16-1513</t>
  </si>
  <si>
    <t>8-591-7</t>
  </si>
  <si>
    <t>վարդակ</t>
  </si>
  <si>
    <t>16-1519</t>
  </si>
  <si>
    <t>8-402-2</t>
  </si>
  <si>
    <t>100մ</t>
  </si>
  <si>
    <t>Շահույթ  11%</t>
  </si>
  <si>
    <t xml:space="preserve">Հրշեջ ավտոմեքենայի ավտոտնակի կառուցում </t>
  </si>
  <si>
    <t xml:space="preserve">Տ Ե Ղ Ա Յ Ի Ն    Ն Ա Խ Ա Հ Ա Շ Ի Վ  N 1-2  </t>
  </si>
  <si>
    <t xml:space="preserve">/ինֆորմացիոն տեղեկագիր N 5           Գ.մեք.= </t>
  </si>
  <si>
    <t>Լուսատու պատին ամրացվող   Լեդ մակնիշի 1x10վտ</t>
  </si>
  <si>
    <t>Առաստաղային լուսատուների  տեղադրում «Լեդ» մակնիշի 15վտ</t>
  </si>
  <si>
    <t>Ц 10-744-6</t>
  </si>
  <si>
    <t>շչակ</t>
  </si>
  <si>
    <t>Շչակ SP 20S կամ համարժեք (сирена)</t>
  </si>
  <si>
    <r>
      <t>Մալուխ պղնձե ջիղով   ВВГ</t>
    </r>
    <r>
      <rPr>
        <sz val="8"/>
        <rFont val="GHEA Grapalat"/>
        <family val="3"/>
      </rPr>
      <t>НГ</t>
    </r>
    <r>
      <rPr>
        <sz val="10"/>
        <rFont val="GHEA Grapalat"/>
        <family val="3"/>
      </rPr>
      <t xml:space="preserve">  LS 3x4 մմ² մակնիշի    </t>
    </r>
  </si>
  <si>
    <r>
      <t>Մալուխ պղնձե ջիղով   ВВГ</t>
    </r>
    <r>
      <rPr>
        <sz val="8"/>
        <rFont val="GHEA Grapalat"/>
        <family val="3"/>
      </rPr>
      <t>НГ</t>
    </r>
    <r>
      <rPr>
        <sz val="10"/>
        <rFont val="GHEA Grapalat"/>
        <family val="3"/>
      </rPr>
      <t xml:space="preserve">  LS 3x2.5 մմ² մակնիշի    </t>
    </r>
  </si>
  <si>
    <r>
      <t>Մալուխ պղնձե ջիղով   ВВГ</t>
    </r>
    <r>
      <rPr>
        <sz val="8"/>
        <rFont val="GHEA Grapalat"/>
        <family val="3"/>
      </rPr>
      <t>НГ</t>
    </r>
    <r>
      <rPr>
        <sz val="10"/>
        <rFont val="GHEA Grapalat"/>
        <family val="3"/>
      </rPr>
      <t xml:space="preserve">  LS 3x1.5 մմ² մակնիշի    </t>
    </r>
  </si>
  <si>
    <t>Միաբևեռ անջատիչների տեղադրում  IP 20</t>
  </si>
  <si>
    <t>Երկբևեռ  անջատիչների տեղադրում IP 20</t>
  </si>
  <si>
    <t>Միաբևեռ խրոցակային վարդակների տեղադրում հողանցման կոնտակտով</t>
  </si>
  <si>
    <t>մալուխ</t>
  </si>
  <si>
    <t>Նախահաշիվ N1-2</t>
  </si>
  <si>
    <t>Էլեկտրական լուսավորություն</t>
  </si>
  <si>
    <t>Կազմված է 05.2022թ. գներով</t>
  </si>
  <si>
    <t>16-1495</t>
  </si>
  <si>
    <t>16-1496</t>
  </si>
  <si>
    <t>16-1497</t>
  </si>
  <si>
    <t>Առաստաղային լուսատուների  տեղադրում «Լեդ» մակնիշի IP 40 1x32վտ</t>
  </si>
  <si>
    <t>Բետոնե հատակի կառուցում        B 12,5 դասի բետոնով 10սմ</t>
  </si>
  <si>
    <t>Տեղ համայնքի ղեկավար</t>
  </si>
  <si>
    <t xml:space="preserve">                        Դ․Ղուլունց</t>
  </si>
  <si>
    <t xml:space="preserve">                                           « _______» _________________ 2022թ</t>
  </si>
  <si>
    <t xml:space="preserve">Մեկ միավորի ընդհանուր արժեքը                                                                </t>
  </si>
  <si>
    <t xml:space="preserve">Ընդհանուր արժեքը </t>
  </si>
  <si>
    <t>Ամբողջը</t>
  </si>
  <si>
    <t>ԱԱՀ 20%</t>
  </si>
  <si>
    <t xml:space="preserve">Ծ Ա Վ Ա Լ Ա Թ Ե Ր Թ   Ն Ա Խ Ա Հ Ա Շ Ի Վ   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</si>
</sst>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%"/>
    <numFmt numFmtId="191" formatCode="0.0000"/>
    <numFmt numFmtId="192" formatCode="0.00000"/>
    <numFmt numFmtId="193" formatCode="_-* #,##0.0\ _դ_ր_._-;\-* #,##0.0\ _դ_ր_._-;_-* &quot;-&quot;??\ _դ_ր_._-;_-@_-"/>
    <numFmt numFmtId="194" formatCode="0E+00"/>
    <numFmt numFmtId="195" formatCode="#,##0.000"/>
    <numFmt numFmtId="196" formatCode="_-* #,##0.000_р_._-;\-* #,##0.000_р_._-;_-* &quot;-&quot;??_р_._-;_-@_-"/>
    <numFmt numFmtId="197" formatCode="#,##0.0"/>
    <numFmt numFmtId="198" formatCode="0.0E+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9"/>
      <name val="GHEA Grapalat"/>
      <family val="3"/>
    </font>
    <font>
      <i/>
      <sz val="8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b/>
      <u val="single"/>
      <sz val="10"/>
      <name val="GHEA Grapalat"/>
      <family val="3"/>
    </font>
    <font>
      <b/>
      <i/>
      <sz val="11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b/>
      <i/>
      <sz val="11"/>
      <color indexed="8"/>
      <name val="GHEA Grapalat"/>
      <family val="3"/>
    </font>
    <font>
      <sz val="10"/>
      <name val="Arial"/>
      <family val="2"/>
    </font>
    <font>
      <b/>
      <sz val="9"/>
      <name val="GHEA Grapalat"/>
      <family val="3"/>
    </font>
    <font>
      <b/>
      <i/>
      <sz val="12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GHEA Grapalat"/>
      <family val="3"/>
    </font>
    <font>
      <sz val="10"/>
      <color indexed="10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GHEA Grapalat"/>
      <family val="3"/>
    </font>
    <font>
      <sz val="10"/>
      <color rgb="FFFF0000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</cellStyleXfs>
  <cellXfs count="226">
    <xf numFmtId="0" fontId="0" fillId="0" borderId="0" xfId="0" applyFont="1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8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18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7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189" fontId="4" fillId="0" borderId="11" xfId="0" applyNumberFormat="1" applyFont="1" applyFill="1" applyBorder="1" applyAlignment="1">
      <alignment horizontal="center" vertical="center"/>
    </xf>
    <xf numFmtId="191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88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91" fontId="4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90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89" fontId="7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7" fillId="0" borderId="11" xfId="0" applyFont="1" applyFill="1" applyBorder="1" applyAlignment="1">
      <alignment horizontal="left" vertical="center" wrapText="1"/>
    </xf>
    <xf numFmtId="188" fontId="7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2" fontId="14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2" fontId="9" fillId="0" borderId="0" xfId="0" applyNumberFormat="1" applyFont="1" applyFill="1" applyAlignment="1">
      <alignment horizontal="center" vertical="center" wrapText="1"/>
    </xf>
    <xf numFmtId="9" fontId="4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" fontId="8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2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190" fontId="4" fillId="0" borderId="11" xfId="0" applyNumberFormat="1" applyFont="1" applyFill="1" applyBorder="1" applyAlignment="1">
      <alignment horizontal="left" vertical="center" wrapText="1"/>
    </xf>
    <xf numFmtId="2" fontId="10" fillId="0" borderId="0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191" fontId="7" fillId="0" borderId="11" xfId="0" applyNumberFormat="1" applyFont="1" applyFill="1" applyBorder="1" applyAlignment="1">
      <alignment horizontal="center" vertical="center" wrapText="1"/>
    </xf>
    <xf numFmtId="17" fontId="7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9" fontId="8" fillId="0" borderId="11" xfId="0" applyNumberFormat="1" applyFont="1" applyFill="1" applyBorder="1" applyAlignment="1">
      <alignment horizontal="center" vertical="center" wrapText="1"/>
    </xf>
    <xf numFmtId="188" fontId="57" fillId="0" borderId="11" xfId="0" applyNumberFormat="1" applyFont="1" applyFill="1" applyBorder="1" applyAlignment="1">
      <alignment horizontal="center" vertical="center" wrapText="1"/>
    </xf>
    <xf numFmtId="188" fontId="58" fillId="0" borderId="11" xfId="0" applyNumberFormat="1" applyFont="1" applyFill="1" applyBorder="1" applyAlignment="1">
      <alignment horizontal="center" vertical="center" wrapText="1"/>
    </xf>
    <xf numFmtId="18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192" fontId="7" fillId="0" borderId="0" xfId="0" applyNumberFormat="1" applyFont="1" applyFill="1" applyBorder="1" applyAlignment="1">
      <alignment horizontal="center" vertical="center" wrapText="1"/>
    </xf>
    <xf numFmtId="192" fontId="10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197" fontId="4" fillId="0" borderId="11" xfId="0" applyNumberFormat="1" applyFont="1" applyFill="1" applyBorder="1" applyAlignment="1">
      <alignment horizontal="center" vertical="center"/>
    </xf>
    <xf numFmtId="197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192" fontId="4" fillId="0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2" fontId="58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8" fillId="32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18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textRotation="90" wrapText="1"/>
    </xf>
    <xf numFmtId="2" fontId="17" fillId="0" borderId="0" xfId="0" applyNumberFormat="1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189" fontId="4" fillId="0" borderId="12" xfId="0" applyNumberFormat="1" applyFont="1" applyFill="1" applyBorder="1" applyAlignment="1">
      <alignment horizontal="center" vertical="center"/>
    </xf>
    <xf numFmtId="189" fontId="4" fillId="0" borderId="17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" fontId="4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 2" xfId="65"/>
    <cellStyle name="Обычный 2 2" xfId="66"/>
    <cellStyle name="Обычный 3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zoomScale="70" zoomScaleNormal="70" zoomScalePageLayoutView="0" workbookViewId="0" topLeftCell="A1">
      <selection activeCell="H10" sqref="H10"/>
    </sheetView>
  </sheetViews>
  <sheetFormatPr defaultColWidth="17.421875" defaultRowHeight="15"/>
  <cols>
    <col min="1" max="1" width="5.140625" style="60" customWidth="1"/>
    <col min="2" max="2" width="17.28125" style="66" customWidth="1"/>
    <col min="3" max="3" width="26.57421875" style="60" customWidth="1"/>
    <col min="4" max="4" width="18.140625" style="60" customWidth="1"/>
    <col min="5" max="6" width="17.421875" style="60" customWidth="1"/>
    <col min="7" max="7" width="10.7109375" style="60" customWidth="1"/>
    <col min="8" max="8" width="17.57421875" style="60" customWidth="1"/>
    <col min="9" max="16384" width="17.421875" style="60" customWidth="1"/>
  </cols>
  <sheetData>
    <row r="1" spans="2:8" s="55" customFormat="1" ht="24.75" customHeight="1">
      <c r="B1" s="56"/>
      <c r="G1" s="57"/>
      <c r="H1" s="57"/>
    </row>
    <row r="2" spans="1:8" s="59" customFormat="1" ht="24.75" customHeight="1">
      <c r="A2" s="141" t="s">
        <v>39</v>
      </c>
      <c r="B2" s="141"/>
      <c r="C2" s="141"/>
      <c r="D2" s="141"/>
      <c r="E2" s="141"/>
      <c r="F2" s="141"/>
      <c r="G2" s="141"/>
      <c r="H2" s="141"/>
    </row>
    <row r="3" spans="1:8" ht="24.75" customHeight="1">
      <c r="A3" s="58"/>
      <c r="B3" s="58"/>
      <c r="C3" s="141" t="s">
        <v>160</v>
      </c>
      <c r="D3" s="141"/>
      <c r="E3" s="141"/>
      <c r="F3" s="141"/>
      <c r="G3" s="141"/>
      <c r="H3" s="58"/>
    </row>
    <row r="4" spans="1:8" ht="33" customHeight="1">
      <c r="A4" s="142" t="s">
        <v>222</v>
      </c>
      <c r="B4" s="142"/>
      <c r="C4" s="142"/>
      <c r="D4" s="143" t="s">
        <v>33</v>
      </c>
      <c r="E4" s="143"/>
      <c r="F4" s="143"/>
      <c r="G4" s="126">
        <f>H10</f>
        <v>4817.686255185574</v>
      </c>
      <c r="H4" s="127" t="s">
        <v>18</v>
      </c>
    </row>
    <row r="5" spans="1:8" ht="30.75" customHeight="1">
      <c r="A5" s="128" t="s">
        <v>24</v>
      </c>
      <c r="B5" s="129" t="s">
        <v>36</v>
      </c>
      <c r="C5" s="128" t="s">
        <v>34</v>
      </c>
      <c r="D5" s="138" t="s">
        <v>28</v>
      </c>
      <c r="E5" s="139"/>
      <c r="F5" s="139"/>
      <c r="G5" s="139"/>
      <c r="H5" s="140"/>
    </row>
    <row r="6" spans="1:8" ht="31.5" customHeight="1">
      <c r="A6" s="128"/>
      <c r="B6" s="129"/>
      <c r="C6" s="128"/>
      <c r="D6" s="128" t="s">
        <v>29</v>
      </c>
      <c r="E6" s="128" t="s">
        <v>35</v>
      </c>
      <c r="F6" s="128" t="s">
        <v>38</v>
      </c>
      <c r="G6" s="128" t="s">
        <v>20</v>
      </c>
      <c r="H6" s="128" t="s">
        <v>43</v>
      </c>
    </row>
    <row r="7" spans="1:8" s="61" customFormat="1" ht="18" customHeight="1">
      <c r="A7" s="130">
        <v>1</v>
      </c>
      <c r="B7" s="130">
        <v>2</v>
      </c>
      <c r="C7" s="130">
        <v>3</v>
      </c>
      <c r="D7" s="130">
        <v>4</v>
      </c>
      <c r="E7" s="130"/>
      <c r="F7" s="130">
        <v>6</v>
      </c>
      <c r="G7" s="130">
        <v>7</v>
      </c>
      <c r="H7" s="130">
        <v>8</v>
      </c>
    </row>
    <row r="8" spans="1:8" s="62" customFormat="1" ht="34.5">
      <c r="A8" s="128">
        <v>1</v>
      </c>
      <c r="B8" s="129" t="s">
        <v>37</v>
      </c>
      <c r="C8" s="131" t="s">
        <v>29</v>
      </c>
      <c r="D8" s="132">
        <f>'n1-1'!T78</f>
        <v>4670.485935772402</v>
      </c>
      <c r="E8" s="133"/>
      <c r="F8" s="133"/>
      <c r="G8" s="134"/>
      <c r="H8" s="132">
        <f>SUM(D8:G8)</f>
        <v>4670.485935772402</v>
      </c>
    </row>
    <row r="9" spans="1:8" s="62" customFormat="1" ht="34.5">
      <c r="A9" s="128">
        <v>1</v>
      </c>
      <c r="B9" s="129" t="s">
        <v>220</v>
      </c>
      <c r="C9" s="131" t="s">
        <v>221</v>
      </c>
      <c r="D9" s="132"/>
      <c r="E9" s="135">
        <f>Лист1!T26</f>
        <v>147.200319413172</v>
      </c>
      <c r="F9" s="133"/>
      <c r="G9" s="134"/>
      <c r="H9" s="132">
        <f>SUM(D9:G9)</f>
        <v>147.200319413172</v>
      </c>
    </row>
    <row r="10" spans="1:8" ht="24.75" customHeight="1">
      <c r="A10" s="133"/>
      <c r="B10" s="128" t="s">
        <v>43</v>
      </c>
      <c r="C10" s="128"/>
      <c r="D10" s="132">
        <f>SUM(D8:D9)</f>
        <v>4670.485935772402</v>
      </c>
      <c r="E10" s="132">
        <f>SUM(E8:E9)</f>
        <v>147.200319413172</v>
      </c>
      <c r="F10" s="132"/>
      <c r="G10" s="136"/>
      <c r="H10" s="132">
        <f>SUM(H8:H9)</f>
        <v>4817.686255185574</v>
      </c>
    </row>
    <row r="11" spans="1:8" ht="22.5" customHeight="1">
      <c r="A11" s="63"/>
      <c r="B11" s="64"/>
      <c r="C11" s="65"/>
      <c r="D11" s="63"/>
      <c r="E11" s="63"/>
      <c r="F11" s="63"/>
      <c r="G11" s="63"/>
      <c r="H11" s="63"/>
    </row>
    <row r="13" spans="3:9" ht="16.5">
      <c r="C13" s="44" t="s">
        <v>23</v>
      </c>
      <c r="D13" s="44"/>
      <c r="E13" s="44"/>
      <c r="F13" s="44"/>
      <c r="G13" s="44"/>
      <c r="H13" s="44"/>
      <c r="I13" s="44"/>
    </row>
  </sheetData>
  <sheetProtection/>
  <mergeCells count="5">
    <mergeCell ref="D5:H5"/>
    <mergeCell ref="A2:H2"/>
    <mergeCell ref="A4:C4"/>
    <mergeCell ref="D4:F4"/>
    <mergeCell ref="C3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81"/>
  <sheetViews>
    <sheetView showZeros="0" zoomScale="85" zoomScaleNormal="85" zoomScalePageLayoutView="0" workbookViewId="0" topLeftCell="A52">
      <selection activeCell="T78" sqref="T78"/>
    </sheetView>
  </sheetViews>
  <sheetFormatPr defaultColWidth="9.140625" defaultRowHeight="15"/>
  <cols>
    <col min="1" max="1" width="3.421875" style="5" customWidth="1"/>
    <col min="2" max="2" width="5.8515625" style="5" customWidth="1"/>
    <col min="3" max="3" width="28.421875" style="52" customWidth="1"/>
    <col min="4" max="4" width="6.28125" style="5" customWidth="1"/>
    <col min="5" max="5" width="8.140625" style="41" customWidth="1"/>
    <col min="6" max="6" width="8.00390625" style="2" customWidth="1"/>
    <col min="7" max="7" width="7.57421875" style="2" customWidth="1"/>
    <col min="8" max="8" width="9.28125" style="2" hidden="1" customWidth="1"/>
    <col min="9" max="9" width="7.28125" style="2" customWidth="1"/>
    <col min="10" max="10" width="6.7109375" style="2" customWidth="1"/>
    <col min="11" max="11" width="8.00390625" style="2" hidden="1" customWidth="1"/>
    <col min="12" max="12" width="7.57421875" style="2" customWidth="1"/>
    <col min="13" max="13" width="15.57421875" style="2" customWidth="1"/>
    <col min="14" max="14" width="8.28125" style="53" customWidth="1"/>
    <col min="15" max="15" width="4.8515625" style="2" customWidth="1"/>
    <col min="16" max="16" width="8.421875" style="2" customWidth="1"/>
    <col min="17" max="17" width="8.8515625" style="2" customWidth="1"/>
    <col min="18" max="18" width="6.57421875" style="2" hidden="1" customWidth="1"/>
    <col min="19" max="19" width="8.00390625" style="2" customWidth="1"/>
    <col min="20" max="20" width="9.57421875" style="2" customWidth="1"/>
    <col min="21" max="21" width="9.7109375" style="2" customWidth="1"/>
    <col min="22" max="16384" width="9.140625" style="2" customWidth="1"/>
  </cols>
  <sheetData>
    <row r="1" spans="1:251" ht="17.25">
      <c r="A1" s="161" t="s">
        <v>83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</row>
    <row r="2" spans="1:21" ht="16.5">
      <c r="A2" s="3"/>
      <c r="B2" s="162" t="s">
        <v>160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</row>
    <row r="3" spans="1:19" ht="13.5">
      <c r="A3" s="163" t="s">
        <v>130</v>
      </c>
      <c r="B3" s="163"/>
      <c r="C3" s="163"/>
      <c r="D3" s="163"/>
      <c r="E3" s="163"/>
      <c r="F3" s="167">
        <v>1983.67</v>
      </c>
      <c r="G3" s="167"/>
      <c r="H3" s="4"/>
      <c r="L3" s="5"/>
      <c r="N3" s="6"/>
      <c r="S3" s="5"/>
    </row>
    <row r="4" spans="1:20" ht="20.25" customHeight="1">
      <c r="A4" s="165" t="s">
        <v>131</v>
      </c>
      <c r="B4" s="165"/>
      <c r="C4" s="165"/>
      <c r="D4" s="165"/>
      <c r="E4" s="165"/>
      <c r="F4" s="165">
        <v>3504.41</v>
      </c>
      <c r="G4" s="165"/>
      <c r="H4" s="5"/>
      <c r="K4" s="7"/>
      <c r="L4" s="174" t="s">
        <v>49</v>
      </c>
      <c r="M4" s="174"/>
      <c r="N4" s="174"/>
      <c r="O4" s="174"/>
      <c r="P4" s="174"/>
      <c r="Q4" s="174"/>
      <c r="R4" s="54"/>
      <c r="S4" s="8">
        <f>T78</f>
        <v>4670.485935772402</v>
      </c>
      <c r="T4" s="96" t="s">
        <v>50</v>
      </c>
    </row>
    <row r="5" spans="1:21" ht="15" customHeight="1">
      <c r="A5" s="152" t="s">
        <v>41</v>
      </c>
      <c r="B5" s="144" t="s">
        <v>9</v>
      </c>
      <c r="C5" s="152" t="s">
        <v>42</v>
      </c>
      <c r="D5" s="144" t="s">
        <v>13</v>
      </c>
      <c r="E5" s="166" t="s">
        <v>45</v>
      </c>
      <c r="F5" s="149" t="s">
        <v>51</v>
      </c>
      <c r="G5" s="168" t="s">
        <v>52</v>
      </c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70"/>
      <c r="T5" s="144" t="s">
        <v>2</v>
      </c>
      <c r="U5" s="144" t="s">
        <v>11</v>
      </c>
    </row>
    <row r="6" spans="1:21" ht="51" customHeight="1">
      <c r="A6" s="152"/>
      <c r="B6" s="144"/>
      <c r="C6" s="152"/>
      <c r="D6" s="144"/>
      <c r="E6" s="166"/>
      <c r="F6" s="150"/>
      <c r="G6" s="152" t="s">
        <v>6</v>
      </c>
      <c r="H6" s="152"/>
      <c r="I6" s="152"/>
      <c r="J6" s="164" t="s">
        <v>10</v>
      </c>
      <c r="K6" s="164"/>
      <c r="L6" s="164"/>
      <c r="M6" s="152" t="s">
        <v>12</v>
      </c>
      <c r="N6" s="152"/>
      <c r="O6" s="152"/>
      <c r="P6" s="152"/>
      <c r="Q6" s="152"/>
      <c r="R6" s="152"/>
      <c r="S6" s="152"/>
      <c r="T6" s="144"/>
      <c r="U6" s="144"/>
    </row>
    <row r="7" spans="1:21" ht="85.5" customHeight="1">
      <c r="A7" s="152"/>
      <c r="B7" s="144"/>
      <c r="C7" s="152"/>
      <c r="D7" s="144"/>
      <c r="E7" s="166"/>
      <c r="F7" s="151"/>
      <c r="G7" s="10" t="s">
        <v>0</v>
      </c>
      <c r="H7" s="9">
        <f>F3/1000</f>
        <v>1.98367</v>
      </c>
      <c r="I7" s="10" t="s">
        <v>1</v>
      </c>
      <c r="J7" s="10" t="s">
        <v>0</v>
      </c>
      <c r="K7" s="9">
        <f>F4/1000</f>
        <v>3.50441</v>
      </c>
      <c r="L7" s="10" t="s">
        <v>1</v>
      </c>
      <c r="M7" s="9" t="s">
        <v>44</v>
      </c>
      <c r="N7" s="12" t="s">
        <v>53</v>
      </c>
      <c r="O7" s="10" t="s">
        <v>14</v>
      </c>
      <c r="P7" s="10" t="s">
        <v>45</v>
      </c>
      <c r="Q7" s="10" t="s">
        <v>3</v>
      </c>
      <c r="R7" s="54">
        <f>1.05*1.02*1.129</f>
        <v>1.209159</v>
      </c>
      <c r="S7" s="10" t="s">
        <v>4</v>
      </c>
      <c r="T7" s="144"/>
      <c r="U7" s="144"/>
    </row>
    <row r="8" spans="1:21" ht="13.5">
      <c r="A8" s="13">
        <v>1</v>
      </c>
      <c r="B8" s="13">
        <v>2</v>
      </c>
      <c r="C8" s="13">
        <v>3</v>
      </c>
      <c r="D8" s="13">
        <v>4</v>
      </c>
      <c r="E8" s="89">
        <v>5</v>
      </c>
      <c r="F8" s="13">
        <v>6</v>
      </c>
      <c r="G8" s="13">
        <v>7</v>
      </c>
      <c r="H8" s="13">
        <f>H$7</f>
        <v>1.98367</v>
      </c>
      <c r="I8" s="13">
        <v>8</v>
      </c>
      <c r="J8" s="13">
        <v>9</v>
      </c>
      <c r="K8" s="13">
        <f>K$7</f>
        <v>3.50441</v>
      </c>
      <c r="L8" s="13">
        <v>10</v>
      </c>
      <c r="M8" s="13">
        <v>11</v>
      </c>
      <c r="N8" s="14">
        <v>12</v>
      </c>
      <c r="O8" s="13">
        <v>13</v>
      </c>
      <c r="P8" s="13">
        <v>14</v>
      </c>
      <c r="Q8" s="13">
        <v>15</v>
      </c>
      <c r="R8" s="102">
        <f>R$7</f>
        <v>1.209159</v>
      </c>
      <c r="S8" s="13">
        <v>16</v>
      </c>
      <c r="T8" s="13">
        <v>17</v>
      </c>
      <c r="U8" s="13">
        <v>18</v>
      </c>
    </row>
    <row r="9" spans="1:21" ht="14.25">
      <c r="A9" s="11"/>
      <c r="B9" s="11"/>
      <c r="C9" s="15" t="s">
        <v>110</v>
      </c>
      <c r="D9" s="11"/>
      <c r="E9" s="16"/>
      <c r="F9" s="16"/>
      <c r="G9" s="11"/>
      <c r="H9" s="11">
        <f aca="true" t="shared" si="0" ref="H9:H51">H$8</f>
        <v>1.98367</v>
      </c>
      <c r="I9" s="16"/>
      <c r="J9" s="11"/>
      <c r="K9" s="11">
        <f aca="true" t="shared" si="1" ref="K9:K51">K$8</f>
        <v>3.50441</v>
      </c>
      <c r="L9" s="16"/>
      <c r="M9" s="18"/>
      <c r="N9" s="19"/>
      <c r="O9" s="11"/>
      <c r="P9" s="11"/>
      <c r="Q9" s="11"/>
      <c r="R9" s="102">
        <f aca="true" t="shared" si="2" ref="R9:R46">R$7</f>
        <v>1.209159</v>
      </c>
      <c r="S9" s="16"/>
      <c r="T9" s="16"/>
      <c r="U9" s="16"/>
    </row>
    <row r="10" spans="1:244" ht="36" customHeight="1">
      <c r="A10" s="11">
        <v>1</v>
      </c>
      <c r="B10" s="19" t="s">
        <v>91</v>
      </c>
      <c r="C10" s="18" t="s">
        <v>92</v>
      </c>
      <c r="D10" s="11" t="s">
        <v>54</v>
      </c>
      <c r="E10" s="20">
        <v>1.8</v>
      </c>
      <c r="F10" s="16">
        <f>I10+L10+S10</f>
        <v>4.69224233</v>
      </c>
      <c r="G10" s="11">
        <v>0.45</v>
      </c>
      <c r="H10" s="11">
        <f t="shared" si="0"/>
        <v>1.98367</v>
      </c>
      <c r="I10" s="16">
        <f>G10*H10</f>
        <v>0.8926515</v>
      </c>
      <c r="J10" s="16">
        <v>0.37</v>
      </c>
      <c r="K10" s="11">
        <f t="shared" si="1"/>
        <v>3.50441</v>
      </c>
      <c r="L10" s="16">
        <f>J10*K10</f>
        <v>1.2966317</v>
      </c>
      <c r="M10" s="23" t="s">
        <v>40</v>
      </c>
      <c r="N10" s="11" t="s">
        <v>87</v>
      </c>
      <c r="O10" s="11" t="s">
        <v>54</v>
      </c>
      <c r="P10" s="16">
        <v>1.15</v>
      </c>
      <c r="Q10" s="16">
        <v>1.8</v>
      </c>
      <c r="R10" s="102">
        <f t="shared" si="2"/>
        <v>1.209159</v>
      </c>
      <c r="S10" s="16">
        <f aca="true" t="shared" si="3" ref="S10:S63">P10*Q10*R10</f>
        <v>2.50295913</v>
      </c>
      <c r="T10" s="16">
        <f>E10*F10</f>
        <v>8.446036194</v>
      </c>
      <c r="U10" s="16">
        <f>E10*S10</f>
        <v>4.505326434</v>
      </c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</row>
    <row r="11" spans="1:21" ht="20.25" customHeight="1">
      <c r="A11" s="145">
        <v>2</v>
      </c>
      <c r="B11" s="146" t="s">
        <v>132</v>
      </c>
      <c r="C11" s="160" t="s">
        <v>139</v>
      </c>
      <c r="D11" s="145" t="s">
        <v>54</v>
      </c>
      <c r="E11" s="145">
        <v>6.8</v>
      </c>
      <c r="F11" s="148">
        <f>I11+L11+S11+S12+S13+S14</f>
        <v>52.7652282238776</v>
      </c>
      <c r="G11" s="145">
        <v>6.18</v>
      </c>
      <c r="H11" s="11">
        <f t="shared" si="0"/>
        <v>1.98367</v>
      </c>
      <c r="I11" s="148">
        <f>G11*H11</f>
        <v>12.259080599999999</v>
      </c>
      <c r="J11" s="145">
        <v>0.96</v>
      </c>
      <c r="K11" s="13">
        <f t="shared" si="1"/>
        <v>3.50441</v>
      </c>
      <c r="L11" s="148">
        <f>J11*K11</f>
        <v>3.3642336</v>
      </c>
      <c r="M11" s="18" t="s">
        <v>65</v>
      </c>
      <c r="N11" s="9" t="s">
        <v>133</v>
      </c>
      <c r="O11" s="11" t="s">
        <v>54</v>
      </c>
      <c r="P11" s="11">
        <v>1.015</v>
      </c>
      <c r="Q11" s="17">
        <v>19.806</v>
      </c>
      <c r="R11" s="102">
        <f t="shared" si="2"/>
        <v>1.209159</v>
      </c>
      <c r="S11" s="16">
        <f t="shared" si="3"/>
        <v>24.30783220131</v>
      </c>
      <c r="T11" s="148">
        <f>E11*F11</f>
        <v>358.80355192236766</v>
      </c>
      <c r="U11" s="16">
        <f>E11*S11</f>
        <v>165.293258968908</v>
      </c>
    </row>
    <row r="12" spans="1:21" ht="16.5" customHeight="1">
      <c r="A12" s="145"/>
      <c r="B12" s="146"/>
      <c r="C12" s="160"/>
      <c r="D12" s="145"/>
      <c r="E12" s="145"/>
      <c r="F12" s="148"/>
      <c r="G12" s="145"/>
      <c r="H12" s="11">
        <f t="shared" si="0"/>
        <v>1.98367</v>
      </c>
      <c r="I12" s="148"/>
      <c r="J12" s="145"/>
      <c r="K12" s="13">
        <f t="shared" si="1"/>
        <v>3.50441</v>
      </c>
      <c r="L12" s="148"/>
      <c r="M12" s="98" t="s">
        <v>61</v>
      </c>
      <c r="N12" s="9"/>
      <c r="O12" s="11" t="s">
        <v>62</v>
      </c>
      <c r="P12" s="11">
        <v>2.05</v>
      </c>
      <c r="Q12" s="20">
        <v>3</v>
      </c>
      <c r="R12" s="102">
        <f t="shared" si="2"/>
        <v>1.209159</v>
      </c>
      <c r="S12" s="16">
        <f t="shared" si="3"/>
        <v>7.43632785</v>
      </c>
      <c r="T12" s="148"/>
      <c r="U12" s="16">
        <f>E11*S12</f>
        <v>50.567029379999994</v>
      </c>
    </row>
    <row r="13" spans="1:21" ht="15" customHeight="1">
      <c r="A13" s="145"/>
      <c r="B13" s="146"/>
      <c r="C13" s="160"/>
      <c r="D13" s="145"/>
      <c r="E13" s="145"/>
      <c r="F13" s="148"/>
      <c r="G13" s="145"/>
      <c r="H13" s="11">
        <f t="shared" si="0"/>
        <v>1.98367</v>
      </c>
      <c r="I13" s="148"/>
      <c r="J13" s="145"/>
      <c r="K13" s="13">
        <f t="shared" si="1"/>
        <v>3.50441</v>
      </c>
      <c r="L13" s="148"/>
      <c r="M13" s="18" t="s">
        <v>63</v>
      </c>
      <c r="N13" s="9" t="s">
        <v>172</v>
      </c>
      <c r="O13" s="11" t="s">
        <v>54</v>
      </c>
      <c r="P13" s="99">
        <v>0.0308</v>
      </c>
      <c r="Q13" s="17">
        <v>97.083</v>
      </c>
      <c r="R13" s="102">
        <f t="shared" si="2"/>
        <v>1.209159</v>
      </c>
      <c r="S13" s="16">
        <f t="shared" si="3"/>
        <v>3.6155745224676004</v>
      </c>
      <c r="T13" s="148"/>
      <c r="U13" s="16">
        <f>E11*S13</f>
        <v>24.58590675277968</v>
      </c>
    </row>
    <row r="14" spans="1:21" ht="19.5" customHeight="1">
      <c r="A14" s="145"/>
      <c r="B14" s="146"/>
      <c r="C14" s="160"/>
      <c r="D14" s="145"/>
      <c r="E14" s="145"/>
      <c r="F14" s="148"/>
      <c r="G14" s="145"/>
      <c r="H14" s="11">
        <f t="shared" si="0"/>
        <v>1.98367</v>
      </c>
      <c r="I14" s="148"/>
      <c r="J14" s="145"/>
      <c r="K14" s="13">
        <f t="shared" si="1"/>
        <v>3.50441</v>
      </c>
      <c r="L14" s="148"/>
      <c r="M14" s="18" t="s">
        <v>64</v>
      </c>
      <c r="N14" s="67" t="s">
        <v>134</v>
      </c>
      <c r="O14" s="11" t="s">
        <v>57</v>
      </c>
      <c r="P14" s="11">
        <v>1.7</v>
      </c>
      <c r="Q14" s="11">
        <v>0.867</v>
      </c>
      <c r="R14" s="102">
        <f t="shared" si="2"/>
        <v>1.209159</v>
      </c>
      <c r="S14" s="16">
        <f t="shared" si="3"/>
        <v>1.7821794501000001</v>
      </c>
      <c r="T14" s="148"/>
      <c r="U14" s="16">
        <f>E11*S14</f>
        <v>12.11882026068</v>
      </c>
    </row>
    <row r="15" spans="1:21" ht="18" customHeight="1">
      <c r="A15" s="11">
        <v>3</v>
      </c>
      <c r="B15" s="19" t="s">
        <v>89</v>
      </c>
      <c r="C15" s="18" t="s">
        <v>135</v>
      </c>
      <c r="D15" s="11" t="s">
        <v>79</v>
      </c>
      <c r="E15" s="17">
        <v>0.106</v>
      </c>
      <c r="F15" s="16">
        <f>I15+L15+S15</f>
        <v>302.28975</v>
      </c>
      <c r="G15" s="11"/>
      <c r="H15" s="11">
        <f t="shared" si="0"/>
        <v>1.98367</v>
      </c>
      <c r="I15" s="16"/>
      <c r="J15" s="11"/>
      <c r="K15" s="13">
        <f t="shared" si="1"/>
        <v>3.50441</v>
      </c>
      <c r="L15" s="16"/>
      <c r="M15" s="18" t="s">
        <v>136</v>
      </c>
      <c r="N15" s="28" t="s">
        <v>94</v>
      </c>
      <c r="O15" s="21" t="s">
        <v>56</v>
      </c>
      <c r="P15" s="33">
        <v>1</v>
      </c>
      <c r="Q15" s="20">
        <v>250</v>
      </c>
      <c r="R15" s="102">
        <f t="shared" si="2"/>
        <v>1.209159</v>
      </c>
      <c r="S15" s="16">
        <f t="shared" si="3"/>
        <v>302.28975</v>
      </c>
      <c r="T15" s="16">
        <f>E15*F15</f>
        <v>32.042713500000005</v>
      </c>
      <c r="U15" s="16">
        <f>E15*S15</f>
        <v>32.042713500000005</v>
      </c>
    </row>
    <row r="16" spans="1:21" ht="16.5" customHeight="1">
      <c r="A16" s="11">
        <v>4</v>
      </c>
      <c r="B16" s="19" t="s">
        <v>89</v>
      </c>
      <c r="C16" s="18" t="s">
        <v>140</v>
      </c>
      <c r="D16" s="11" t="s">
        <v>79</v>
      </c>
      <c r="E16" s="35">
        <f>0.15955+0.17115</f>
        <v>0.3307</v>
      </c>
      <c r="F16" s="16">
        <f>I16+L16+S16</f>
        <v>302.28975</v>
      </c>
      <c r="G16" s="11"/>
      <c r="H16" s="11">
        <f t="shared" si="0"/>
        <v>1.98367</v>
      </c>
      <c r="I16" s="16"/>
      <c r="J16" s="11"/>
      <c r="K16" s="13">
        <f t="shared" si="1"/>
        <v>3.50441</v>
      </c>
      <c r="L16" s="16"/>
      <c r="M16" s="18" t="s">
        <v>137</v>
      </c>
      <c r="N16" s="9" t="s">
        <v>173</v>
      </c>
      <c r="O16" s="11" t="s">
        <v>79</v>
      </c>
      <c r="P16" s="20">
        <v>1</v>
      </c>
      <c r="Q16" s="20">
        <v>250</v>
      </c>
      <c r="R16" s="102">
        <f t="shared" si="2"/>
        <v>1.209159</v>
      </c>
      <c r="S16" s="16">
        <f t="shared" si="3"/>
        <v>302.28975</v>
      </c>
      <c r="T16" s="16">
        <f>E16*F16</f>
        <v>99.96722032500001</v>
      </c>
      <c r="U16" s="16">
        <f>E16*S16</f>
        <v>99.96722032500001</v>
      </c>
    </row>
    <row r="17" spans="1:21" ht="13.5">
      <c r="A17" s="153">
        <v>5</v>
      </c>
      <c r="B17" s="156" t="s">
        <v>76</v>
      </c>
      <c r="C17" s="160" t="s">
        <v>141</v>
      </c>
      <c r="D17" s="187" t="s">
        <v>54</v>
      </c>
      <c r="E17" s="171">
        <v>2.8</v>
      </c>
      <c r="F17" s="171">
        <f>I17+L17+S17+S18+S19+S20</f>
        <v>26.707631996159698</v>
      </c>
      <c r="G17" s="171">
        <v>1.74</v>
      </c>
      <c r="H17" s="11">
        <f t="shared" si="0"/>
        <v>1.98367</v>
      </c>
      <c r="I17" s="171">
        <f>G17*H17</f>
        <v>3.4515858</v>
      </c>
      <c r="J17" s="153">
        <v>0.69</v>
      </c>
      <c r="K17" s="11">
        <f t="shared" si="1"/>
        <v>3.50441</v>
      </c>
      <c r="L17" s="171">
        <f>J17*K17</f>
        <v>2.4180428999999997</v>
      </c>
      <c r="M17" s="27" t="s">
        <v>96</v>
      </c>
      <c r="N17" s="28" t="s">
        <v>175</v>
      </c>
      <c r="O17" s="21" t="s">
        <v>54</v>
      </c>
      <c r="P17" s="29">
        <v>0.71</v>
      </c>
      <c r="Q17" s="11">
        <v>18.083</v>
      </c>
      <c r="R17" s="102">
        <f t="shared" si="2"/>
        <v>1.209159</v>
      </c>
      <c r="S17" s="16">
        <f t="shared" si="3"/>
        <v>15.524307759869998</v>
      </c>
      <c r="T17" s="171">
        <f>E17*F17</f>
        <v>74.78136958924715</v>
      </c>
      <c r="U17" s="16">
        <f>P17*Q17*E17</f>
        <v>35.94900399999999</v>
      </c>
    </row>
    <row r="18" spans="1:21" ht="13.5">
      <c r="A18" s="154"/>
      <c r="B18" s="157"/>
      <c r="C18" s="160"/>
      <c r="D18" s="187"/>
      <c r="E18" s="172"/>
      <c r="F18" s="172"/>
      <c r="G18" s="172"/>
      <c r="H18" s="11">
        <f t="shared" si="0"/>
        <v>1.98367</v>
      </c>
      <c r="I18" s="172"/>
      <c r="J18" s="154"/>
      <c r="K18" s="11">
        <f t="shared" si="1"/>
        <v>3.50441</v>
      </c>
      <c r="L18" s="172"/>
      <c r="M18" s="27" t="s">
        <v>55</v>
      </c>
      <c r="N18" s="19" t="s">
        <v>106</v>
      </c>
      <c r="O18" s="21" t="s">
        <v>54</v>
      </c>
      <c r="P18" s="30">
        <v>0.44</v>
      </c>
      <c r="Q18" s="11">
        <v>1.5</v>
      </c>
      <c r="R18" s="102">
        <f t="shared" si="2"/>
        <v>1.209159</v>
      </c>
      <c r="S18" s="16">
        <f t="shared" si="3"/>
        <v>0.7980449400000001</v>
      </c>
      <c r="T18" s="172"/>
      <c r="U18" s="16">
        <f>P18*Q18*E17</f>
        <v>1.8479999999999999</v>
      </c>
    </row>
    <row r="19" spans="1:21" ht="13.5">
      <c r="A19" s="154"/>
      <c r="B19" s="157"/>
      <c r="C19" s="160"/>
      <c r="D19" s="187"/>
      <c r="E19" s="172"/>
      <c r="F19" s="172"/>
      <c r="G19" s="172"/>
      <c r="H19" s="11">
        <f t="shared" si="0"/>
        <v>1.98367</v>
      </c>
      <c r="I19" s="172"/>
      <c r="J19" s="154"/>
      <c r="K19" s="11">
        <f t="shared" si="1"/>
        <v>3.50441</v>
      </c>
      <c r="L19" s="172"/>
      <c r="M19" s="27" t="s">
        <v>61</v>
      </c>
      <c r="N19" s="19"/>
      <c r="O19" s="21" t="s">
        <v>62</v>
      </c>
      <c r="P19" s="30">
        <v>0.918</v>
      </c>
      <c r="Q19" s="20">
        <v>3</v>
      </c>
      <c r="R19" s="102">
        <f t="shared" si="2"/>
        <v>1.209159</v>
      </c>
      <c r="S19" s="16">
        <f t="shared" si="3"/>
        <v>3.330023886</v>
      </c>
      <c r="T19" s="172"/>
      <c r="U19" s="16">
        <f>P19*Q19*E17</f>
        <v>7.7112</v>
      </c>
    </row>
    <row r="20" spans="1:21" ht="13.5">
      <c r="A20" s="155"/>
      <c r="B20" s="158"/>
      <c r="C20" s="160"/>
      <c r="D20" s="187"/>
      <c r="E20" s="173"/>
      <c r="F20" s="173"/>
      <c r="G20" s="173"/>
      <c r="H20" s="11">
        <f t="shared" si="0"/>
        <v>1.98367</v>
      </c>
      <c r="I20" s="173"/>
      <c r="J20" s="155"/>
      <c r="K20" s="11">
        <f t="shared" si="1"/>
        <v>3.50441</v>
      </c>
      <c r="L20" s="173"/>
      <c r="M20" s="18" t="s">
        <v>63</v>
      </c>
      <c r="N20" s="9" t="s">
        <v>172</v>
      </c>
      <c r="O20" s="21" t="s">
        <v>54</v>
      </c>
      <c r="P20" s="31">
        <v>0.0101</v>
      </c>
      <c r="Q20" s="17">
        <v>97.083</v>
      </c>
      <c r="R20" s="102">
        <f t="shared" si="2"/>
        <v>1.209159</v>
      </c>
      <c r="S20" s="16">
        <f t="shared" si="3"/>
        <v>1.1856267102897</v>
      </c>
      <c r="T20" s="173"/>
      <c r="U20" s="16">
        <f>P20*Q20*E17</f>
        <v>2.74550724</v>
      </c>
    </row>
    <row r="21" spans="1:21" ht="23.25" customHeight="1">
      <c r="A21" s="145">
        <v>6</v>
      </c>
      <c r="B21" s="145" t="s">
        <v>104</v>
      </c>
      <c r="C21" s="180" t="s">
        <v>105</v>
      </c>
      <c r="D21" s="145" t="s">
        <v>62</v>
      </c>
      <c r="E21" s="148">
        <v>7.2</v>
      </c>
      <c r="F21" s="148">
        <f>I21+L21+S21+S22</f>
        <v>11.608487078580001</v>
      </c>
      <c r="G21" s="152">
        <v>3.5</v>
      </c>
      <c r="H21" s="11">
        <f>H$7</f>
        <v>1.98367</v>
      </c>
      <c r="I21" s="175">
        <f>G21*H21</f>
        <v>6.942845</v>
      </c>
      <c r="J21" s="152">
        <v>0.02</v>
      </c>
      <c r="K21" s="107">
        <f>K$7</f>
        <v>3.50441</v>
      </c>
      <c r="L21" s="175">
        <f>J21*K21</f>
        <v>0.0700882</v>
      </c>
      <c r="M21" s="67" t="s">
        <v>77</v>
      </c>
      <c r="N21" s="9" t="s">
        <v>176</v>
      </c>
      <c r="O21" s="9" t="s">
        <v>62</v>
      </c>
      <c r="P21" s="9">
        <v>1.01</v>
      </c>
      <c r="Q21" s="105">
        <v>2.822</v>
      </c>
      <c r="R21" s="107">
        <f t="shared" si="2"/>
        <v>1.209159</v>
      </c>
      <c r="S21" s="16">
        <f t="shared" si="3"/>
        <v>3.4463691649800006</v>
      </c>
      <c r="T21" s="148">
        <f>E21*F21</f>
        <v>83.58110696577602</v>
      </c>
      <c r="U21" s="16">
        <f>P21*Q21*E21</f>
        <v>20.521584</v>
      </c>
    </row>
    <row r="22" spans="1:21" ht="32.25" customHeight="1">
      <c r="A22" s="145"/>
      <c r="B22" s="145"/>
      <c r="C22" s="180"/>
      <c r="D22" s="145"/>
      <c r="E22" s="148"/>
      <c r="F22" s="148"/>
      <c r="G22" s="152"/>
      <c r="H22" s="11">
        <f>H$7</f>
        <v>1.98367</v>
      </c>
      <c r="I22" s="175"/>
      <c r="J22" s="152"/>
      <c r="K22" s="107">
        <f>K$7</f>
        <v>3.50441</v>
      </c>
      <c r="L22" s="175"/>
      <c r="M22" s="106" t="s">
        <v>58</v>
      </c>
      <c r="N22" s="9" t="s">
        <v>86</v>
      </c>
      <c r="O22" s="9" t="s">
        <v>54</v>
      </c>
      <c r="P22" s="105">
        <v>0.036</v>
      </c>
      <c r="Q22" s="68">
        <v>26.4</v>
      </c>
      <c r="R22" s="107">
        <f t="shared" si="2"/>
        <v>1.209159</v>
      </c>
      <c r="S22" s="16">
        <f t="shared" si="3"/>
        <v>1.1491847136</v>
      </c>
      <c r="T22" s="148"/>
      <c r="U22" s="16">
        <f>P22*Q22*E21</f>
        <v>6.842879999999999</v>
      </c>
    </row>
    <row r="23" spans="1:21" s="32" customFormat="1" ht="13.5">
      <c r="A23" s="153">
        <v>7</v>
      </c>
      <c r="B23" s="156" t="s">
        <v>108</v>
      </c>
      <c r="C23" s="185" t="s">
        <v>109</v>
      </c>
      <c r="D23" s="188" t="s">
        <v>62</v>
      </c>
      <c r="E23" s="178">
        <f>(8.25*2+5.9*2+5.1*2)*0.3</f>
        <v>11.549999999999999</v>
      </c>
      <c r="F23" s="178">
        <f>I23+L23+S23+S24</f>
        <v>5.187826769700001</v>
      </c>
      <c r="G23" s="176">
        <v>0.282</v>
      </c>
      <c r="H23" s="11">
        <f t="shared" si="0"/>
        <v>1.98367</v>
      </c>
      <c r="I23" s="178">
        <f>H23*G23</f>
        <v>0.55939494</v>
      </c>
      <c r="J23" s="176">
        <v>0.0333</v>
      </c>
      <c r="K23" s="11">
        <f t="shared" si="1"/>
        <v>3.50441</v>
      </c>
      <c r="L23" s="178">
        <f>J23*K23</f>
        <v>0.11669685300000002</v>
      </c>
      <c r="M23" s="27" t="s">
        <v>59</v>
      </c>
      <c r="N23" s="9" t="s">
        <v>177</v>
      </c>
      <c r="O23" s="21" t="s">
        <v>57</v>
      </c>
      <c r="P23" s="29">
        <v>4.4</v>
      </c>
      <c r="Q23" s="30">
        <v>0.238</v>
      </c>
      <c r="R23" s="102">
        <f t="shared" si="2"/>
        <v>1.209159</v>
      </c>
      <c r="S23" s="16">
        <f t="shared" si="3"/>
        <v>1.2662313048000002</v>
      </c>
      <c r="T23" s="178">
        <f>E23*F23</f>
        <v>59.919399190035</v>
      </c>
      <c r="U23" s="29">
        <f>E23*P23*Q23</f>
        <v>12.09516</v>
      </c>
    </row>
    <row r="24" spans="1:21" s="32" customFormat="1" ht="21" customHeight="1">
      <c r="A24" s="155"/>
      <c r="B24" s="158"/>
      <c r="C24" s="186"/>
      <c r="D24" s="189"/>
      <c r="E24" s="179"/>
      <c r="F24" s="179"/>
      <c r="G24" s="177"/>
      <c r="H24" s="11">
        <f t="shared" si="0"/>
        <v>1.98367</v>
      </c>
      <c r="I24" s="179"/>
      <c r="J24" s="177"/>
      <c r="K24" s="11">
        <f t="shared" si="1"/>
        <v>3.50441</v>
      </c>
      <c r="L24" s="179"/>
      <c r="M24" s="27" t="s">
        <v>82</v>
      </c>
      <c r="N24" s="19" t="s">
        <v>178</v>
      </c>
      <c r="O24" s="21" t="s">
        <v>62</v>
      </c>
      <c r="P24" s="33">
        <v>2.3</v>
      </c>
      <c r="Q24" s="30">
        <v>1.167</v>
      </c>
      <c r="R24" s="102">
        <f t="shared" si="2"/>
        <v>1.209159</v>
      </c>
      <c r="S24" s="16">
        <f t="shared" si="3"/>
        <v>3.2455036719000003</v>
      </c>
      <c r="T24" s="179"/>
      <c r="U24" s="29">
        <f>E23*P24*Q24</f>
        <v>31.001354999999993</v>
      </c>
    </row>
    <row r="25" spans="1:21" ht="14.25">
      <c r="A25" s="11"/>
      <c r="B25" s="11"/>
      <c r="C25" s="24" t="s">
        <v>43</v>
      </c>
      <c r="D25" s="11"/>
      <c r="E25" s="25"/>
      <c r="F25" s="23"/>
      <c r="G25" s="23"/>
      <c r="H25" s="11">
        <f t="shared" si="0"/>
        <v>1.98367</v>
      </c>
      <c r="I25" s="23"/>
      <c r="J25" s="23"/>
      <c r="K25" s="11">
        <f t="shared" si="1"/>
        <v>3.50441</v>
      </c>
      <c r="L25" s="23"/>
      <c r="M25" s="23"/>
      <c r="N25" s="19"/>
      <c r="O25" s="23"/>
      <c r="P25" s="23"/>
      <c r="Q25" s="23"/>
      <c r="R25" s="102">
        <f t="shared" si="2"/>
        <v>1.209159</v>
      </c>
      <c r="S25" s="16">
        <f t="shared" si="3"/>
        <v>0</v>
      </c>
      <c r="T25" s="26">
        <f>SUM(T10:T24)</f>
        <v>717.5413976864259</v>
      </c>
      <c r="U25" s="26">
        <f>SUM(U10:U24)</f>
        <v>507.79496586136776</v>
      </c>
    </row>
    <row r="26" spans="1:21" ht="14.25">
      <c r="A26" s="11"/>
      <c r="B26" s="11"/>
      <c r="C26" s="15" t="s">
        <v>60</v>
      </c>
      <c r="D26" s="11"/>
      <c r="E26" s="16"/>
      <c r="F26" s="16"/>
      <c r="G26" s="11"/>
      <c r="H26" s="11">
        <f t="shared" si="0"/>
        <v>1.98367</v>
      </c>
      <c r="I26" s="16"/>
      <c r="J26" s="11"/>
      <c r="K26" s="11">
        <f t="shared" si="1"/>
        <v>3.50441</v>
      </c>
      <c r="L26" s="16"/>
      <c r="M26" s="18"/>
      <c r="N26" s="19"/>
      <c r="O26" s="11"/>
      <c r="P26" s="11"/>
      <c r="Q26" s="11"/>
      <c r="R26" s="102">
        <f t="shared" si="2"/>
        <v>1.209159</v>
      </c>
      <c r="S26" s="16">
        <f t="shared" si="3"/>
        <v>0</v>
      </c>
      <c r="T26" s="16"/>
      <c r="U26" s="16"/>
    </row>
    <row r="27" spans="1:21" ht="18" customHeight="1">
      <c r="A27" s="145">
        <v>1</v>
      </c>
      <c r="B27" s="146" t="s">
        <v>142</v>
      </c>
      <c r="C27" s="160" t="s">
        <v>143</v>
      </c>
      <c r="D27" s="145" t="s">
        <v>54</v>
      </c>
      <c r="E27" s="148">
        <f>2+1.7+1.8</f>
        <v>5.5</v>
      </c>
      <c r="F27" s="148">
        <f>I27+L27+S27+S28+S29+S30</f>
        <v>70.31953276047501</v>
      </c>
      <c r="G27" s="152">
        <v>7.43</v>
      </c>
      <c r="H27" s="11">
        <f t="shared" si="0"/>
        <v>1.98367</v>
      </c>
      <c r="I27" s="148">
        <f>G27*H27</f>
        <v>14.7386681</v>
      </c>
      <c r="J27" s="145">
        <v>3.36</v>
      </c>
      <c r="K27" s="13">
        <f t="shared" si="1"/>
        <v>3.50441</v>
      </c>
      <c r="L27" s="148">
        <f>J27*K27</f>
        <v>11.7748176</v>
      </c>
      <c r="M27" s="18" t="s">
        <v>65</v>
      </c>
      <c r="N27" s="28" t="s">
        <v>74</v>
      </c>
      <c r="O27" s="11" t="s">
        <v>54</v>
      </c>
      <c r="P27" s="11">
        <v>1.015</v>
      </c>
      <c r="Q27" s="17">
        <v>21.042</v>
      </c>
      <c r="R27" s="102">
        <f t="shared" si="2"/>
        <v>1.209159</v>
      </c>
      <c r="S27" s="16">
        <f t="shared" si="3"/>
        <v>25.824770533170003</v>
      </c>
      <c r="T27" s="148">
        <f>E27*F27</f>
        <v>386.75743018261255</v>
      </c>
      <c r="U27" s="16">
        <f>E27*S27</f>
        <v>142.03623793243503</v>
      </c>
    </row>
    <row r="28" spans="1:21" ht="18" customHeight="1">
      <c r="A28" s="145"/>
      <c r="B28" s="146"/>
      <c r="C28" s="160"/>
      <c r="D28" s="145"/>
      <c r="E28" s="148"/>
      <c r="F28" s="148"/>
      <c r="G28" s="152"/>
      <c r="H28" s="11">
        <f t="shared" si="0"/>
        <v>1.98367</v>
      </c>
      <c r="I28" s="148"/>
      <c r="J28" s="145"/>
      <c r="K28" s="13">
        <f t="shared" si="1"/>
        <v>3.50441</v>
      </c>
      <c r="L28" s="148"/>
      <c r="M28" s="98" t="s">
        <v>61</v>
      </c>
      <c r="N28" s="19"/>
      <c r="O28" s="11" t="s">
        <v>62</v>
      </c>
      <c r="P28" s="11">
        <v>2.42</v>
      </c>
      <c r="Q28" s="20">
        <v>3</v>
      </c>
      <c r="R28" s="102">
        <f t="shared" si="2"/>
        <v>1.209159</v>
      </c>
      <c r="S28" s="16">
        <f t="shared" si="3"/>
        <v>8.77849434</v>
      </c>
      <c r="T28" s="148"/>
      <c r="U28" s="16">
        <f>E27*S28</f>
        <v>48.28171887</v>
      </c>
    </row>
    <row r="29" spans="1:21" ht="16.5" customHeight="1">
      <c r="A29" s="145"/>
      <c r="B29" s="146"/>
      <c r="C29" s="160"/>
      <c r="D29" s="145"/>
      <c r="E29" s="148"/>
      <c r="F29" s="148"/>
      <c r="G29" s="152"/>
      <c r="H29" s="11">
        <f t="shared" si="0"/>
        <v>1.98367</v>
      </c>
      <c r="I29" s="148"/>
      <c r="J29" s="145"/>
      <c r="K29" s="13">
        <f t="shared" si="1"/>
        <v>3.50441</v>
      </c>
      <c r="L29" s="148"/>
      <c r="M29" s="18" t="s">
        <v>63</v>
      </c>
      <c r="N29" s="97" t="s">
        <v>144</v>
      </c>
      <c r="O29" s="11" t="s">
        <v>54</v>
      </c>
      <c r="P29" s="11">
        <v>0.065</v>
      </c>
      <c r="Q29" s="17">
        <v>97.083</v>
      </c>
      <c r="R29" s="102">
        <f t="shared" si="2"/>
        <v>1.209159</v>
      </c>
      <c r="S29" s="16">
        <f t="shared" si="3"/>
        <v>7.630270907805</v>
      </c>
      <c r="T29" s="148"/>
      <c r="U29" s="16">
        <f>E27*S29</f>
        <v>41.9664899929275</v>
      </c>
    </row>
    <row r="30" spans="1:21" ht="20.25" customHeight="1">
      <c r="A30" s="145"/>
      <c r="B30" s="146"/>
      <c r="C30" s="160"/>
      <c r="D30" s="145"/>
      <c r="E30" s="148"/>
      <c r="F30" s="148"/>
      <c r="G30" s="152"/>
      <c r="H30" s="11">
        <f t="shared" si="0"/>
        <v>1.98367</v>
      </c>
      <c r="I30" s="148"/>
      <c r="J30" s="145"/>
      <c r="K30" s="13">
        <f t="shared" si="1"/>
        <v>3.50441</v>
      </c>
      <c r="L30" s="148"/>
      <c r="M30" s="18" t="s">
        <v>64</v>
      </c>
      <c r="N30" s="19" t="s">
        <v>134</v>
      </c>
      <c r="O30" s="11" t="s">
        <v>57</v>
      </c>
      <c r="P30" s="11">
        <v>1.5</v>
      </c>
      <c r="Q30" s="123">
        <v>0.867</v>
      </c>
      <c r="R30" s="102">
        <f t="shared" si="2"/>
        <v>1.209159</v>
      </c>
      <c r="S30" s="16">
        <f t="shared" si="3"/>
        <v>1.5725112795</v>
      </c>
      <c r="T30" s="148"/>
      <c r="U30" s="16">
        <f>E27*S30</f>
        <v>8.64881203725</v>
      </c>
    </row>
    <row r="31" spans="1:21" ht="18" customHeight="1">
      <c r="A31" s="11">
        <v>2</v>
      </c>
      <c r="B31" s="19" t="s">
        <v>89</v>
      </c>
      <c r="C31" s="18" t="s">
        <v>145</v>
      </c>
      <c r="D31" s="11" t="s">
        <v>79</v>
      </c>
      <c r="E31" s="35">
        <f>0.0568+0.0442+0.0505</f>
        <v>0.15150000000000002</v>
      </c>
      <c r="F31" s="16">
        <f>I31+L31+S31</f>
        <v>302.28975</v>
      </c>
      <c r="G31" s="11"/>
      <c r="H31" s="11">
        <f t="shared" si="0"/>
        <v>1.98367</v>
      </c>
      <c r="I31" s="16">
        <f>G31*H31</f>
        <v>0</v>
      </c>
      <c r="J31" s="11"/>
      <c r="K31" s="13">
        <f t="shared" si="1"/>
        <v>3.50441</v>
      </c>
      <c r="L31" s="16">
        <f>J31*K31</f>
        <v>0</v>
      </c>
      <c r="M31" s="18" t="s">
        <v>136</v>
      </c>
      <c r="N31" s="28" t="s">
        <v>94</v>
      </c>
      <c r="O31" s="21" t="s">
        <v>56</v>
      </c>
      <c r="P31" s="33">
        <v>1</v>
      </c>
      <c r="Q31" s="20">
        <v>250</v>
      </c>
      <c r="R31" s="102">
        <f t="shared" si="2"/>
        <v>1.209159</v>
      </c>
      <c r="S31" s="16">
        <f t="shared" si="3"/>
        <v>302.28975</v>
      </c>
      <c r="T31" s="16">
        <f>E31*F31</f>
        <v>45.79689712500001</v>
      </c>
      <c r="U31" s="16">
        <f>E31*S31</f>
        <v>45.79689712500001</v>
      </c>
    </row>
    <row r="32" spans="1:21" ht="19.5" customHeight="1">
      <c r="A32" s="11">
        <v>3</v>
      </c>
      <c r="B32" s="19" t="s">
        <v>89</v>
      </c>
      <c r="C32" s="18" t="s">
        <v>152</v>
      </c>
      <c r="D32" s="11" t="s">
        <v>79</v>
      </c>
      <c r="E32" s="11">
        <f>0.1174+0.0888</f>
        <v>0.2062</v>
      </c>
      <c r="F32" s="16">
        <f>I32+L32+S32</f>
        <v>302.28975</v>
      </c>
      <c r="G32" s="11"/>
      <c r="H32" s="11">
        <f t="shared" si="0"/>
        <v>1.98367</v>
      </c>
      <c r="I32" s="16">
        <f>G32*H32</f>
        <v>0</v>
      </c>
      <c r="J32" s="11"/>
      <c r="K32" s="13">
        <f t="shared" si="1"/>
        <v>3.50441</v>
      </c>
      <c r="L32" s="16">
        <f>J32*K32</f>
        <v>0</v>
      </c>
      <c r="M32" s="18" t="s">
        <v>137</v>
      </c>
      <c r="N32" s="11" t="s">
        <v>146</v>
      </c>
      <c r="O32" s="11" t="s">
        <v>79</v>
      </c>
      <c r="P32" s="20">
        <v>1</v>
      </c>
      <c r="Q32" s="20">
        <v>250</v>
      </c>
      <c r="R32" s="102">
        <f t="shared" si="2"/>
        <v>1.209159</v>
      </c>
      <c r="S32" s="16">
        <f>P32*Q32*R32</f>
        <v>302.28975</v>
      </c>
      <c r="T32" s="16">
        <f>E32*F32</f>
        <v>62.33214645</v>
      </c>
      <c r="U32" s="16">
        <f>E32*S32</f>
        <v>62.33214645</v>
      </c>
    </row>
    <row r="33" spans="1:21" ht="19.5" customHeight="1">
      <c r="A33" s="11">
        <v>4</v>
      </c>
      <c r="B33" s="19" t="s">
        <v>89</v>
      </c>
      <c r="C33" s="18" t="s">
        <v>153</v>
      </c>
      <c r="D33" s="11" t="s">
        <v>79</v>
      </c>
      <c r="E33" s="11">
        <f>0.01+0.01+0.01</f>
        <v>0.03</v>
      </c>
      <c r="F33" s="16">
        <f>I33+L33+S33</f>
        <v>302.28975</v>
      </c>
      <c r="G33" s="11"/>
      <c r="H33" s="11">
        <f t="shared" si="0"/>
        <v>1.98367</v>
      </c>
      <c r="I33" s="16">
        <f>G33*H33</f>
        <v>0</v>
      </c>
      <c r="J33" s="11"/>
      <c r="K33" s="13">
        <f t="shared" si="1"/>
        <v>3.50441</v>
      </c>
      <c r="L33" s="16">
        <f>J33*K33</f>
        <v>0</v>
      </c>
      <c r="M33" s="18" t="s">
        <v>71</v>
      </c>
      <c r="N33" s="11" t="s">
        <v>179</v>
      </c>
      <c r="O33" s="11" t="s">
        <v>79</v>
      </c>
      <c r="P33" s="20">
        <v>1</v>
      </c>
      <c r="Q33" s="20">
        <v>250</v>
      </c>
      <c r="R33" s="102">
        <f t="shared" si="2"/>
        <v>1.209159</v>
      </c>
      <c r="S33" s="16">
        <f t="shared" si="3"/>
        <v>302.28975</v>
      </c>
      <c r="T33" s="16">
        <f>E33*F33</f>
        <v>9.068692500000001</v>
      </c>
      <c r="U33" s="16">
        <f>E33*S33</f>
        <v>9.068692500000001</v>
      </c>
    </row>
    <row r="34" spans="1:22" ht="17.25" customHeight="1">
      <c r="A34" s="145">
        <v>5</v>
      </c>
      <c r="B34" s="146" t="s">
        <v>147</v>
      </c>
      <c r="C34" s="160" t="s">
        <v>154</v>
      </c>
      <c r="D34" s="145" t="s">
        <v>54</v>
      </c>
      <c r="E34" s="147">
        <f>1+1+1+1.1+1.1</f>
        <v>5.199999999999999</v>
      </c>
      <c r="F34" s="148">
        <f>I34+L34+S34+S35+S36+S37</f>
        <v>62.525116081601006</v>
      </c>
      <c r="G34" s="145">
        <v>8.76</v>
      </c>
      <c r="H34" s="11">
        <f t="shared" si="0"/>
        <v>1.98367</v>
      </c>
      <c r="I34" s="148">
        <f>G34*H34</f>
        <v>17.3769492</v>
      </c>
      <c r="J34" s="145">
        <v>1.21</v>
      </c>
      <c r="K34" s="13">
        <f t="shared" si="1"/>
        <v>3.50441</v>
      </c>
      <c r="L34" s="148">
        <f>J34*K34</f>
        <v>4.2403360999999995</v>
      </c>
      <c r="M34" s="18" t="s">
        <v>65</v>
      </c>
      <c r="N34" s="28" t="s">
        <v>74</v>
      </c>
      <c r="O34" s="11" t="s">
        <v>54</v>
      </c>
      <c r="P34" s="11">
        <v>1.015</v>
      </c>
      <c r="Q34" s="17">
        <v>21.042</v>
      </c>
      <c r="R34" s="102">
        <f t="shared" si="2"/>
        <v>1.209159</v>
      </c>
      <c r="S34" s="16">
        <f t="shared" si="3"/>
        <v>25.824770533170003</v>
      </c>
      <c r="T34" s="148">
        <f>E34*F34</f>
        <v>325.1306036243252</v>
      </c>
      <c r="U34" s="16">
        <f>E34*S34</f>
        <v>134.288806772484</v>
      </c>
      <c r="V34" s="44"/>
    </row>
    <row r="35" spans="1:22" ht="20.25" customHeight="1">
      <c r="A35" s="145"/>
      <c r="B35" s="146"/>
      <c r="C35" s="160"/>
      <c r="D35" s="145"/>
      <c r="E35" s="147"/>
      <c r="F35" s="148"/>
      <c r="G35" s="145"/>
      <c r="H35" s="11">
        <f t="shared" si="0"/>
        <v>1.98367</v>
      </c>
      <c r="I35" s="148"/>
      <c r="J35" s="145"/>
      <c r="K35" s="13">
        <f t="shared" si="1"/>
        <v>3.50441</v>
      </c>
      <c r="L35" s="148"/>
      <c r="M35" s="98" t="s">
        <v>61</v>
      </c>
      <c r="N35" s="19"/>
      <c r="O35" s="11" t="s">
        <v>62</v>
      </c>
      <c r="P35" s="11">
        <v>2.46</v>
      </c>
      <c r="Q35" s="20">
        <v>3</v>
      </c>
      <c r="R35" s="102">
        <f t="shared" si="2"/>
        <v>1.209159</v>
      </c>
      <c r="S35" s="16">
        <f t="shared" si="3"/>
        <v>8.923593420000001</v>
      </c>
      <c r="T35" s="148"/>
      <c r="U35" s="16">
        <f>E34*S35</f>
        <v>46.402685784</v>
      </c>
      <c r="V35" s="44"/>
    </row>
    <row r="36" spans="1:22" ht="16.5" customHeight="1">
      <c r="A36" s="145"/>
      <c r="B36" s="146"/>
      <c r="C36" s="160"/>
      <c r="D36" s="145"/>
      <c r="E36" s="147"/>
      <c r="F36" s="148"/>
      <c r="G36" s="145"/>
      <c r="H36" s="11">
        <f t="shared" si="0"/>
        <v>1.98367</v>
      </c>
      <c r="I36" s="148"/>
      <c r="J36" s="145"/>
      <c r="K36" s="13">
        <f t="shared" si="1"/>
        <v>3.50441</v>
      </c>
      <c r="L36" s="148"/>
      <c r="M36" s="18" t="s">
        <v>63</v>
      </c>
      <c r="N36" s="19" t="s">
        <v>172</v>
      </c>
      <c r="O36" s="11" t="s">
        <v>54</v>
      </c>
      <c r="P36" s="11">
        <v>0.023</v>
      </c>
      <c r="Q36" s="17">
        <v>97.083</v>
      </c>
      <c r="R36" s="102">
        <f t="shared" si="2"/>
        <v>1.209159</v>
      </c>
      <c r="S36" s="16">
        <f t="shared" si="3"/>
        <v>2.699942013531</v>
      </c>
      <c r="T36" s="148"/>
      <c r="U36" s="16">
        <f>E34*S36</f>
        <v>14.039698470361198</v>
      </c>
      <c r="V36" s="44"/>
    </row>
    <row r="37" spans="1:22" ht="18.75" customHeight="1">
      <c r="A37" s="145"/>
      <c r="B37" s="146"/>
      <c r="C37" s="160"/>
      <c r="D37" s="145"/>
      <c r="E37" s="147"/>
      <c r="F37" s="148"/>
      <c r="G37" s="145"/>
      <c r="H37" s="11">
        <f t="shared" si="0"/>
        <v>1.98367</v>
      </c>
      <c r="I37" s="148"/>
      <c r="J37" s="145"/>
      <c r="K37" s="13">
        <f t="shared" si="1"/>
        <v>3.50441</v>
      </c>
      <c r="L37" s="148"/>
      <c r="M37" s="18" t="s">
        <v>64</v>
      </c>
      <c r="N37" s="19" t="s">
        <v>134</v>
      </c>
      <c r="O37" s="11" t="s">
        <v>57</v>
      </c>
      <c r="P37" s="11">
        <v>3.3</v>
      </c>
      <c r="Q37" s="11">
        <v>0.867</v>
      </c>
      <c r="R37" s="102">
        <f t="shared" si="2"/>
        <v>1.209159</v>
      </c>
      <c r="S37" s="16">
        <f t="shared" si="3"/>
        <v>3.4595248149000004</v>
      </c>
      <c r="T37" s="148"/>
      <c r="U37" s="16">
        <f>E34*S37</f>
        <v>17.98952903748</v>
      </c>
      <c r="V37" s="44"/>
    </row>
    <row r="38" spans="1:22" ht="18" customHeight="1">
      <c r="A38" s="11">
        <v>6</v>
      </c>
      <c r="B38" s="19" t="s">
        <v>89</v>
      </c>
      <c r="C38" s="18" t="s">
        <v>145</v>
      </c>
      <c r="D38" s="11" t="s">
        <v>79</v>
      </c>
      <c r="E38" s="35">
        <f>0.0442+0.0442+0.0442+0.06+0.06</f>
        <v>0.2526</v>
      </c>
      <c r="F38" s="16">
        <f>I38+L38+S38</f>
        <v>302.28975</v>
      </c>
      <c r="G38" s="11"/>
      <c r="H38" s="11">
        <f t="shared" si="0"/>
        <v>1.98367</v>
      </c>
      <c r="I38" s="16">
        <f>G38*H38</f>
        <v>0</v>
      </c>
      <c r="J38" s="11"/>
      <c r="K38" s="13">
        <f t="shared" si="1"/>
        <v>3.50441</v>
      </c>
      <c r="L38" s="16">
        <f>J38*K38</f>
        <v>0</v>
      </c>
      <c r="M38" s="18" t="s">
        <v>136</v>
      </c>
      <c r="N38" s="28" t="s">
        <v>94</v>
      </c>
      <c r="O38" s="21" t="s">
        <v>56</v>
      </c>
      <c r="P38" s="33">
        <v>1</v>
      </c>
      <c r="Q38" s="20">
        <v>250</v>
      </c>
      <c r="R38" s="102">
        <f t="shared" si="2"/>
        <v>1.209159</v>
      </c>
      <c r="S38" s="16">
        <f t="shared" si="3"/>
        <v>302.28975</v>
      </c>
      <c r="T38" s="16">
        <f>E38*F38</f>
        <v>76.35839085</v>
      </c>
      <c r="U38" s="16">
        <f>E38*S38</f>
        <v>76.35839085</v>
      </c>
      <c r="V38" s="44"/>
    </row>
    <row r="39" spans="1:22" ht="18" customHeight="1">
      <c r="A39" s="11">
        <v>7</v>
      </c>
      <c r="B39" s="19" t="s">
        <v>89</v>
      </c>
      <c r="C39" s="18" t="s">
        <v>148</v>
      </c>
      <c r="D39" s="11" t="s">
        <v>79</v>
      </c>
      <c r="E39" s="11">
        <f>0.1007+0.1007+0.1007+0.1319+0.1319</f>
        <v>0.5659</v>
      </c>
      <c r="F39" s="20">
        <f>I39+L39+S39</f>
        <v>302.28975</v>
      </c>
      <c r="G39" s="11"/>
      <c r="H39" s="11">
        <f t="shared" si="0"/>
        <v>1.98367</v>
      </c>
      <c r="I39" s="16">
        <f>G39*H39</f>
        <v>0</v>
      </c>
      <c r="J39" s="11"/>
      <c r="K39" s="13">
        <f t="shared" si="1"/>
        <v>3.50441</v>
      </c>
      <c r="L39" s="16">
        <f>J39*K39</f>
        <v>0</v>
      </c>
      <c r="M39" s="18" t="s">
        <v>137</v>
      </c>
      <c r="N39" s="11" t="s">
        <v>138</v>
      </c>
      <c r="O39" s="11" t="s">
        <v>79</v>
      </c>
      <c r="P39" s="20">
        <v>1</v>
      </c>
      <c r="Q39" s="20">
        <v>250</v>
      </c>
      <c r="R39" s="102">
        <f t="shared" si="2"/>
        <v>1.209159</v>
      </c>
      <c r="S39" s="20">
        <f>P39*Q39*R39</f>
        <v>302.28975</v>
      </c>
      <c r="T39" s="16">
        <f>E39*F39</f>
        <v>171.065769525</v>
      </c>
      <c r="U39" s="16">
        <f>E39*S39</f>
        <v>171.065769525</v>
      </c>
      <c r="V39" s="44"/>
    </row>
    <row r="40" spans="1:21" ht="19.5" customHeight="1">
      <c r="A40" s="11">
        <v>8</v>
      </c>
      <c r="B40" s="19" t="s">
        <v>89</v>
      </c>
      <c r="C40" s="18" t="s">
        <v>153</v>
      </c>
      <c r="D40" s="11" t="s">
        <v>79</v>
      </c>
      <c r="E40" s="11">
        <f>0.0088+0.0088+0.0088+0.0176+0.0175</f>
        <v>0.0615</v>
      </c>
      <c r="F40" s="16">
        <f>I40+L40+S40</f>
        <v>302.28975</v>
      </c>
      <c r="G40" s="11"/>
      <c r="H40" s="11">
        <f t="shared" si="0"/>
        <v>1.98367</v>
      </c>
      <c r="I40" s="16">
        <f>G40*H40</f>
        <v>0</v>
      </c>
      <c r="J40" s="11"/>
      <c r="K40" s="13">
        <f t="shared" si="1"/>
        <v>3.50441</v>
      </c>
      <c r="L40" s="16">
        <f>J40*K40</f>
        <v>0</v>
      </c>
      <c r="M40" s="18" t="s">
        <v>71</v>
      </c>
      <c r="N40" s="11" t="s">
        <v>179</v>
      </c>
      <c r="O40" s="11" t="s">
        <v>79</v>
      </c>
      <c r="P40" s="20">
        <v>1</v>
      </c>
      <c r="Q40" s="20">
        <v>250</v>
      </c>
      <c r="R40" s="102">
        <f t="shared" si="2"/>
        <v>1.209159</v>
      </c>
      <c r="S40" s="16">
        <f>P40*Q40*R40</f>
        <v>302.28975</v>
      </c>
      <c r="T40" s="16">
        <f>E40*F40</f>
        <v>18.590819625</v>
      </c>
      <c r="U40" s="16">
        <f>E40*S40</f>
        <v>18.590819625</v>
      </c>
    </row>
    <row r="41" spans="1:21" ht="19.5" customHeight="1">
      <c r="A41" s="145">
        <v>9</v>
      </c>
      <c r="B41" s="146" t="s">
        <v>78</v>
      </c>
      <c r="C41" s="160" t="s">
        <v>149</v>
      </c>
      <c r="D41" s="145" t="s">
        <v>54</v>
      </c>
      <c r="E41" s="145">
        <v>5.8</v>
      </c>
      <c r="F41" s="148">
        <f>I41+L41+S41+S42+S43</f>
        <v>47.12108980145901</v>
      </c>
      <c r="G41" s="145">
        <v>4.61</v>
      </c>
      <c r="H41" s="11">
        <f t="shared" si="0"/>
        <v>1.98367</v>
      </c>
      <c r="I41" s="148">
        <f>G41*H41</f>
        <v>9.1447187</v>
      </c>
      <c r="J41" s="145">
        <v>0.81</v>
      </c>
      <c r="K41" s="13">
        <f t="shared" si="1"/>
        <v>3.50441</v>
      </c>
      <c r="L41" s="148">
        <f>J41*K41</f>
        <v>2.8385721000000004</v>
      </c>
      <c r="M41" s="18" t="s">
        <v>65</v>
      </c>
      <c r="N41" s="11" t="s">
        <v>133</v>
      </c>
      <c r="O41" s="11" t="s">
        <v>54</v>
      </c>
      <c r="P41" s="11">
        <v>1.015</v>
      </c>
      <c r="Q41" s="17">
        <v>21.042</v>
      </c>
      <c r="R41" s="102">
        <f t="shared" si="2"/>
        <v>1.209159</v>
      </c>
      <c r="S41" s="16">
        <f t="shared" si="3"/>
        <v>25.824770533170003</v>
      </c>
      <c r="T41" s="148">
        <f>E41*F41</f>
        <v>273.3023208484622</v>
      </c>
      <c r="U41" s="16">
        <f>E41*S41</f>
        <v>149.78366909238602</v>
      </c>
    </row>
    <row r="42" spans="1:21" ht="18.75" customHeight="1">
      <c r="A42" s="145"/>
      <c r="B42" s="146"/>
      <c r="C42" s="160"/>
      <c r="D42" s="145"/>
      <c r="E42" s="145"/>
      <c r="F42" s="148"/>
      <c r="G42" s="145"/>
      <c r="H42" s="11">
        <f t="shared" si="0"/>
        <v>1.98367</v>
      </c>
      <c r="I42" s="148"/>
      <c r="J42" s="145"/>
      <c r="K42" s="13">
        <f t="shared" si="1"/>
        <v>3.50441</v>
      </c>
      <c r="L42" s="148"/>
      <c r="M42" s="98" t="s">
        <v>61</v>
      </c>
      <c r="N42" s="11"/>
      <c r="O42" s="11" t="s">
        <v>62</v>
      </c>
      <c r="P42" s="11">
        <v>1.37</v>
      </c>
      <c r="Q42" s="20">
        <v>3</v>
      </c>
      <c r="R42" s="102">
        <f t="shared" si="2"/>
        <v>1.209159</v>
      </c>
      <c r="S42" s="16">
        <f t="shared" si="3"/>
        <v>4.969643490000001</v>
      </c>
      <c r="T42" s="148"/>
      <c r="U42" s="16">
        <f>E41*S42</f>
        <v>28.823932242000005</v>
      </c>
    </row>
    <row r="43" spans="1:21" ht="19.5" customHeight="1">
      <c r="A43" s="145"/>
      <c r="B43" s="146"/>
      <c r="C43" s="160"/>
      <c r="D43" s="145"/>
      <c r="E43" s="145"/>
      <c r="F43" s="148"/>
      <c r="G43" s="145"/>
      <c r="H43" s="11">
        <f t="shared" si="0"/>
        <v>1.98367</v>
      </c>
      <c r="I43" s="148"/>
      <c r="J43" s="145"/>
      <c r="K43" s="13">
        <f t="shared" si="1"/>
        <v>3.50441</v>
      </c>
      <c r="L43" s="148"/>
      <c r="M43" s="18" t="s">
        <v>63</v>
      </c>
      <c r="N43" s="11" t="s">
        <v>172</v>
      </c>
      <c r="O43" s="11" t="s">
        <v>54</v>
      </c>
      <c r="P43" s="11">
        <v>0.037</v>
      </c>
      <c r="Q43" s="17">
        <v>97.083</v>
      </c>
      <c r="R43" s="102">
        <f t="shared" si="2"/>
        <v>1.209159</v>
      </c>
      <c r="S43" s="16">
        <f t="shared" si="3"/>
        <v>4.343384978289</v>
      </c>
      <c r="T43" s="148"/>
      <c r="U43" s="16">
        <f>E41*S43</f>
        <v>25.191632874076202</v>
      </c>
    </row>
    <row r="44" spans="1:22" ht="18" customHeight="1">
      <c r="A44" s="11">
        <v>10</v>
      </c>
      <c r="B44" s="19" t="s">
        <v>89</v>
      </c>
      <c r="C44" s="18" t="s">
        <v>151</v>
      </c>
      <c r="D44" s="11" t="s">
        <v>79</v>
      </c>
      <c r="E44" s="35">
        <v>0.0056</v>
      </c>
      <c r="F44" s="16">
        <f>I44+L44+S44</f>
        <v>302.28975</v>
      </c>
      <c r="G44" s="11"/>
      <c r="H44" s="11">
        <f t="shared" si="0"/>
        <v>1.98367</v>
      </c>
      <c r="I44" s="16">
        <f>G44*H44</f>
        <v>0</v>
      </c>
      <c r="J44" s="11"/>
      <c r="K44" s="13">
        <f t="shared" si="1"/>
        <v>3.50441</v>
      </c>
      <c r="L44" s="16">
        <f>J44*K44</f>
        <v>0</v>
      </c>
      <c r="M44" s="18" t="s">
        <v>136</v>
      </c>
      <c r="N44" s="28" t="s">
        <v>94</v>
      </c>
      <c r="O44" s="21" t="s">
        <v>56</v>
      </c>
      <c r="P44" s="33">
        <v>1</v>
      </c>
      <c r="Q44" s="20">
        <v>250</v>
      </c>
      <c r="R44" s="102">
        <f t="shared" si="2"/>
        <v>1.209159</v>
      </c>
      <c r="S44" s="16">
        <f>P44*Q44*R44</f>
        <v>302.28975</v>
      </c>
      <c r="T44" s="16">
        <f>E44*F44</f>
        <v>1.6928226000000002</v>
      </c>
      <c r="U44" s="16">
        <f>E44*S44</f>
        <v>1.6928226000000002</v>
      </c>
      <c r="V44" s="44"/>
    </row>
    <row r="45" spans="1:21" ht="21" customHeight="1">
      <c r="A45" s="11">
        <v>11</v>
      </c>
      <c r="B45" s="19" t="s">
        <v>89</v>
      </c>
      <c r="C45" s="18" t="s">
        <v>150</v>
      </c>
      <c r="D45" s="11" t="s">
        <v>79</v>
      </c>
      <c r="E45" s="35">
        <f>0.42737*2+0.01727</f>
        <v>0.8720100000000001</v>
      </c>
      <c r="F45" s="16">
        <f>I45+L45+S45</f>
        <v>302.28975</v>
      </c>
      <c r="G45" s="11"/>
      <c r="H45" s="11">
        <f t="shared" si="0"/>
        <v>1.98367</v>
      </c>
      <c r="I45" s="16">
        <f>G45*H45</f>
        <v>0</v>
      </c>
      <c r="J45" s="11"/>
      <c r="K45" s="13">
        <f t="shared" si="1"/>
        <v>3.50441</v>
      </c>
      <c r="L45" s="16">
        <f>J45*K45</f>
        <v>0</v>
      </c>
      <c r="M45" s="18" t="s">
        <v>84</v>
      </c>
      <c r="N45" s="11" t="s">
        <v>95</v>
      </c>
      <c r="O45" s="11" t="s">
        <v>56</v>
      </c>
      <c r="P45" s="20">
        <v>1</v>
      </c>
      <c r="Q45" s="20">
        <v>250</v>
      </c>
      <c r="R45" s="102">
        <f t="shared" si="2"/>
        <v>1.209159</v>
      </c>
      <c r="S45" s="16">
        <f t="shared" si="3"/>
        <v>302.28975</v>
      </c>
      <c r="T45" s="16">
        <f>E45*F45</f>
        <v>263.5996848975</v>
      </c>
      <c r="U45" s="16">
        <f>E45*S45</f>
        <v>263.5996848975</v>
      </c>
    </row>
    <row r="46" spans="1:21" ht="15" customHeight="1">
      <c r="A46" s="145">
        <v>12</v>
      </c>
      <c r="B46" s="190" t="s">
        <v>155</v>
      </c>
      <c r="C46" s="180" t="s">
        <v>156</v>
      </c>
      <c r="D46" s="145" t="s">
        <v>54</v>
      </c>
      <c r="E46" s="145">
        <f>0.5+0.6+0.6</f>
        <v>1.7000000000000002</v>
      </c>
      <c r="F46" s="148">
        <f>I46+L46+S46+S47+S48+S49</f>
        <v>48.6807221220265</v>
      </c>
      <c r="G46" s="145">
        <v>4.91</v>
      </c>
      <c r="H46" s="11">
        <f t="shared" si="0"/>
        <v>1.98367</v>
      </c>
      <c r="I46" s="148">
        <f>G46*H46</f>
        <v>9.7398197</v>
      </c>
      <c r="J46" s="145">
        <v>1.06</v>
      </c>
      <c r="K46" s="36">
        <f t="shared" si="1"/>
        <v>3.50441</v>
      </c>
      <c r="L46" s="148">
        <f>J46*K46</f>
        <v>3.7146746000000004</v>
      </c>
      <c r="M46" s="18" t="s">
        <v>93</v>
      </c>
      <c r="N46" s="22" t="s">
        <v>133</v>
      </c>
      <c r="O46" s="11" t="s">
        <v>54</v>
      </c>
      <c r="P46" s="11">
        <v>1.015</v>
      </c>
      <c r="Q46" s="17">
        <v>21.042</v>
      </c>
      <c r="R46" s="102">
        <f t="shared" si="2"/>
        <v>1.209159</v>
      </c>
      <c r="S46" s="16">
        <f t="shared" si="3"/>
        <v>25.824770533170003</v>
      </c>
      <c r="T46" s="148">
        <f>E46*F46</f>
        <v>82.75722760744506</v>
      </c>
      <c r="U46" s="16">
        <f aca="true" t="shared" si="4" ref="U46:U53">E46*S46</f>
        <v>43.90210990638901</v>
      </c>
    </row>
    <row r="47" spans="1:21" ht="13.5">
      <c r="A47" s="145"/>
      <c r="B47" s="190"/>
      <c r="C47" s="180"/>
      <c r="D47" s="145"/>
      <c r="E47" s="145"/>
      <c r="F47" s="148"/>
      <c r="G47" s="145"/>
      <c r="H47" s="11">
        <f t="shared" si="0"/>
        <v>1.98367</v>
      </c>
      <c r="I47" s="148"/>
      <c r="J47" s="145"/>
      <c r="K47" s="36">
        <f t="shared" si="1"/>
        <v>3.50441</v>
      </c>
      <c r="L47" s="148"/>
      <c r="M47" s="18" t="s">
        <v>61</v>
      </c>
      <c r="N47" s="22"/>
      <c r="O47" s="11" t="s">
        <v>62</v>
      </c>
      <c r="P47" s="11">
        <v>1.4</v>
      </c>
      <c r="Q47" s="20">
        <v>3</v>
      </c>
      <c r="R47" s="102">
        <f aca="true" t="shared" si="5" ref="R47:R69">R$7</f>
        <v>1.209159</v>
      </c>
      <c r="S47" s="16">
        <f t="shared" si="3"/>
        <v>5.078467799999999</v>
      </c>
      <c r="T47" s="148"/>
      <c r="U47" s="16">
        <f>E46*S47</f>
        <v>8.63339526</v>
      </c>
    </row>
    <row r="48" spans="1:21" ht="15" customHeight="1">
      <c r="A48" s="145"/>
      <c r="B48" s="190"/>
      <c r="C48" s="180"/>
      <c r="D48" s="145"/>
      <c r="E48" s="145"/>
      <c r="F48" s="148"/>
      <c r="G48" s="145"/>
      <c r="H48" s="11">
        <f t="shared" si="0"/>
        <v>1.98367</v>
      </c>
      <c r="I48" s="148"/>
      <c r="J48" s="145"/>
      <c r="K48" s="36">
        <f t="shared" si="1"/>
        <v>3.50441</v>
      </c>
      <c r="L48" s="148"/>
      <c r="M48" s="18" t="s">
        <v>157</v>
      </c>
      <c r="N48" s="9" t="s">
        <v>172</v>
      </c>
      <c r="O48" s="11" t="s">
        <v>54</v>
      </c>
      <c r="P48" s="11">
        <v>0.0145</v>
      </c>
      <c r="Q48" s="17">
        <v>97.083</v>
      </c>
      <c r="R48" s="102">
        <f t="shared" si="5"/>
        <v>1.209159</v>
      </c>
      <c r="S48" s="16">
        <f t="shared" si="3"/>
        <v>1.7021373563565</v>
      </c>
      <c r="T48" s="148"/>
      <c r="U48" s="16">
        <f>E46*S48</f>
        <v>2.8936335058060503</v>
      </c>
    </row>
    <row r="49" spans="1:21" ht="19.5" customHeight="1">
      <c r="A49" s="145"/>
      <c r="B49" s="190"/>
      <c r="C49" s="180"/>
      <c r="D49" s="145"/>
      <c r="E49" s="145"/>
      <c r="F49" s="148"/>
      <c r="G49" s="145"/>
      <c r="H49" s="11">
        <f t="shared" si="0"/>
        <v>1.98367</v>
      </c>
      <c r="I49" s="148"/>
      <c r="J49" s="145"/>
      <c r="K49" s="36">
        <f t="shared" si="1"/>
        <v>3.50441</v>
      </c>
      <c r="L49" s="148"/>
      <c r="M49" s="18" t="s">
        <v>64</v>
      </c>
      <c r="N49" s="19" t="s">
        <v>134</v>
      </c>
      <c r="O49" s="11" t="s">
        <v>57</v>
      </c>
      <c r="P49" s="11">
        <v>2.5</v>
      </c>
      <c r="Q49" s="11">
        <v>0.867</v>
      </c>
      <c r="R49" s="102">
        <f t="shared" si="5"/>
        <v>1.209159</v>
      </c>
      <c r="S49" s="16">
        <f t="shared" si="3"/>
        <v>2.6208521325</v>
      </c>
      <c r="T49" s="148"/>
      <c r="U49" s="16">
        <f>E46*S49</f>
        <v>4.455448625250001</v>
      </c>
    </row>
    <row r="50" spans="1:21" ht="19.5" customHeight="1">
      <c r="A50" s="11">
        <v>13</v>
      </c>
      <c r="B50" s="19" t="s">
        <v>89</v>
      </c>
      <c r="C50" s="23" t="s">
        <v>159</v>
      </c>
      <c r="D50" s="11" t="s">
        <v>56</v>
      </c>
      <c r="E50" s="11">
        <f>0.021+0.03+0.03</f>
        <v>0.081</v>
      </c>
      <c r="F50" s="16">
        <f>I50+L50+S50</f>
        <v>302.28975</v>
      </c>
      <c r="G50" s="11"/>
      <c r="H50" s="11">
        <f t="shared" si="0"/>
        <v>1.98367</v>
      </c>
      <c r="I50" s="16">
        <f>G50*H50</f>
        <v>0</v>
      </c>
      <c r="J50" s="11"/>
      <c r="K50" s="36">
        <f t="shared" si="1"/>
        <v>3.50441</v>
      </c>
      <c r="L50" s="16">
        <f>J50*K50</f>
        <v>0</v>
      </c>
      <c r="M50" s="18" t="s">
        <v>66</v>
      </c>
      <c r="N50" s="100" t="s">
        <v>180</v>
      </c>
      <c r="O50" s="11" t="s">
        <v>56</v>
      </c>
      <c r="P50" s="20">
        <v>1</v>
      </c>
      <c r="Q50" s="20">
        <v>250</v>
      </c>
      <c r="R50" s="102">
        <f t="shared" si="5"/>
        <v>1.209159</v>
      </c>
      <c r="S50" s="16">
        <f t="shared" si="3"/>
        <v>302.28975</v>
      </c>
      <c r="T50" s="16">
        <f>E50*F50</f>
        <v>24.485469750000004</v>
      </c>
      <c r="U50" s="16">
        <f t="shared" si="4"/>
        <v>24.485469750000004</v>
      </c>
    </row>
    <row r="51" spans="1:21" s="34" customFormat="1" ht="22.5" customHeight="1">
      <c r="A51" s="11">
        <v>14</v>
      </c>
      <c r="B51" s="19" t="s">
        <v>89</v>
      </c>
      <c r="C51" s="23" t="s">
        <v>158</v>
      </c>
      <c r="D51" s="11" t="s">
        <v>56</v>
      </c>
      <c r="E51" s="11">
        <f>0.021+0.0226+0.0226</f>
        <v>0.0662</v>
      </c>
      <c r="F51" s="16">
        <f>I51+L51+S51</f>
        <v>302.28975</v>
      </c>
      <c r="G51" s="11"/>
      <c r="H51" s="11">
        <f t="shared" si="0"/>
        <v>1.98367</v>
      </c>
      <c r="I51" s="16">
        <f>G51*H51</f>
        <v>0</v>
      </c>
      <c r="J51" s="11"/>
      <c r="K51" s="36">
        <f t="shared" si="1"/>
        <v>3.50441</v>
      </c>
      <c r="L51" s="16">
        <f>J51*K51</f>
        <v>0</v>
      </c>
      <c r="M51" s="18" t="s">
        <v>66</v>
      </c>
      <c r="N51" s="28" t="s">
        <v>174</v>
      </c>
      <c r="O51" s="21" t="s">
        <v>56</v>
      </c>
      <c r="P51" s="33">
        <v>1</v>
      </c>
      <c r="Q51" s="20">
        <v>250</v>
      </c>
      <c r="R51" s="102">
        <f t="shared" si="5"/>
        <v>1.209159</v>
      </c>
      <c r="S51" s="16">
        <f t="shared" si="3"/>
        <v>302.28975</v>
      </c>
      <c r="T51" s="16">
        <f>E51*F51</f>
        <v>20.01158145</v>
      </c>
      <c r="U51" s="16">
        <f t="shared" si="4"/>
        <v>20.01158145</v>
      </c>
    </row>
    <row r="52" spans="1:21" ht="14.25">
      <c r="A52" s="11"/>
      <c r="B52" s="11"/>
      <c r="C52" s="24" t="s">
        <v>43</v>
      </c>
      <c r="D52" s="11"/>
      <c r="E52" s="25"/>
      <c r="F52" s="23"/>
      <c r="G52" s="23"/>
      <c r="H52" s="11">
        <f aca="true" t="shared" si="6" ref="H52:H72">H$8</f>
        <v>1.98367</v>
      </c>
      <c r="I52" s="23"/>
      <c r="J52" s="23"/>
      <c r="K52" s="11">
        <f aca="true" t="shared" si="7" ref="K52:K72">K$8</f>
        <v>3.50441</v>
      </c>
      <c r="L52" s="23"/>
      <c r="M52" s="23"/>
      <c r="N52" s="19"/>
      <c r="O52" s="23"/>
      <c r="P52" s="23"/>
      <c r="Q52" s="23"/>
      <c r="R52" s="102">
        <f t="shared" si="5"/>
        <v>1.209159</v>
      </c>
      <c r="S52" s="16">
        <f t="shared" si="3"/>
        <v>0</v>
      </c>
      <c r="T52" s="26">
        <f>SUM(T27:T51)</f>
        <v>1760.9498570353448</v>
      </c>
      <c r="U52" s="26">
        <f>SUM(U27:U51)</f>
        <v>1410.3400751753452</v>
      </c>
    </row>
    <row r="53" spans="1:21" ht="14.25">
      <c r="A53" s="11"/>
      <c r="B53" s="11"/>
      <c r="C53" s="15" t="s">
        <v>15</v>
      </c>
      <c r="D53" s="11"/>
      <c r="E53" s="16"/>
      <c r="F53" s="16"/>
      <c r="G53" s="11"/>
      <c r="H53" s="11">
        <f t="shared" si="6"/>
        <v>1.98367</v>
      </c>
      <c r="I53" s="16"/>
      <c r="J53" s="11"/>
      <c r="K53" s="11">
        <f t="shared" si="7"/>
        <v>3.50441</v>
      </c>
      <c r="L53" s="16"/>
      <c r="M53" s="18"/>
      <c r="N53" s="19"/>
      <c r="O53" s="11"/>
      <c r="P53" s="11"/>
      <c r="Q53" s="11"/>
      <c r="R53" s="102">
        <f t="shared" si="5"/>
        <v>1.209159</v>
      </c>
      <c r="S53" s="16">
        <f t="shared" si="3"/>
        <v>0</v>
      </c>
      <c r="T53" s="16"/>
      <c r="U53" s="16">
        <f t="shared" si="4"/>
        <v>0</v>
      </c>
    </row>
    <row r="54" spans="1:21" ht="27">
      <c r="A54" s="145">
        <v>1</v>
      </c>
      <c r="B54" s="146" t="s">
        <v>67</v>
      </c>
      <c r="C54" s="180" t="s">
        <v>161</v>
      </c>
      <c r="D54" s="145" t="s">
        <v>54</v>
      </c>
      <c r="E54" s="148">
        <v>9.7</v>
      </c>
      <c r="F54" s="148">
        <f>I54+L54+S54+S55</f>
        <v>23.168293413500002</v>
      </c>
      <c r="G54" s="145">
        <v>1.87</v>
      </c>
      <c r="H54" s="11">
        <f t="shared" si="6"/>
        <v>1.98367</v>
      </c>
      <c r="I54" s="171">
        <f>G54*H54</f>
        <v>3.7094629</v>
      </c>
      <c r="J54" s="145">
        <v>0.92</v>
      </c>
      <c r="K54" s="11">
        <f t="shared" si="7"/>
        <v>3.50441</v>
      </c>
      <c r="L54" s="171">
        <f>J54*K54</f>
        <v>3.2240572000000003</v>
      </c>
      <c r="M54" s="18" t="s">
        <v>68</v>
      </c>
      <c r="N54" s="19" t="s">
        <v>107</v>
      </c>
      <c r="O54" s="11" t="s">
        <v>47</v>
      </c>
      <c r="P54" s="11">
        <v>57.5</v>
      </c>
      <c r="Q54" s="11">
        <v>0.183</v>
      </c>
      <c r="R54" s="102">
        <f t="shared" si="5"/>
        <v>1.209159</v>
      </c>
      <c r="S54" s="16">
        <f t="shared" si="3"/>
        <v>12.7233755775</v>
      </c>
      <c r="T54" s="148">
        <f>E54*F54</f>
        <v>224.73244611095</v>
      </c>
      <c r="U54" s="16">
        <f>P54*Q54*E54</f>
        <v>102.06824999999998</v>
      </c>
    </row>
    <row r="55" spans="1:21" ht="29.25" customHeight="1">
      <c r="A55" s="145"/>
      <c r="B55" s="146"/>
      <c r="C55" s="180"/>
      <c r="D55" s="145"/>
      <c r="E55" s="148"/>
      <c r="F55" s="148"/>
      <c r="G55" s="145"/>
      <c r="H55" s="11">
        <f t="shared" si="6"/>
        <v>1.98367</v>
      </c>
      <c r="I55" s="173"/>
      <c r="J55" s="145"/>
      <c r="K55" s="11">
        <f t="shared" si="7"/>
        <v>3.50441</v>
      </c>
      <c r="L55" s="173"/>
      <c r="M55" s="18" t="s">
        <v>58</v>
      </c>
      <c r="N55" s="19" t="s">
        <v>85</v>
      </c>
      <c r="O55" s="11" t="s">
        <v>69</v>
      </c>
      <c r="P55" s="11">
        <v>0.11</v>
      </c>
      <c r="Q55" s="20">
        <v>26.4</v>
      </c>
      <c r="R55" s="102">
        <f t="shared" si="5"/>
        <v>1.209159</v>
      </c>
      <c r="S55" s="16">
        <f t="shared" si="3"/>
        <v>3.511397736</v>
      </c>
      <c r="T55" s="148"/>
      <c r="U55" s="16">
        <f>E54*P55*Q55</f>
        <v>28.168799999999997</v>
      </c>
    </row>
    <row r="56" spans="1:21" ht="27">
      <c r="A56" s="145">
        <v>2</v>
      </c>
      <c r="B56" s="146" t="s">
        <v>67</v>
      </c>
      <c r="C56" s="180" t="s">
        <v>99</v>
      </c>
      <c r="D56" s="145" t="s">
        <v>54</v>
      </c>
      <c r="E56" s="148">
        <f>((2+1.2)*3.4-2.1*0.7)*0.2</f>
        <v>1.8820000000000001</v>
      </c>
      <c r="F56" s="148">
        <f>I56+L56+S56+S57</f>
        <v>23.863559838500002</v>
      </c>
      <c r="G56" s="145">
        <v>1.87</v>
      </c>
      <c r="H56" s="11">
        <f t="shared" si="6"/>
        <v>1.98367</v>
      </c>
      <c r="I56" s="171">
        <f>G56*H56</f>
        <v>3.7094629</v>
      </c>
      <c r="J56" s="145">
        <v>0.92</v>
      </c>
      <c r="K56" s="11">
        <f t="shared" si="7"/>
        <v>3.50441</v>
      </c>
      <c r="L56" s="171">
        <f>J56*K56</f>
        <v>3.2240572000000003</v>
      </c>
      <c r="M56" s="18" t="s">
        <v>68</v>
      </c>
      <c r="N56" s="19" t="s">
        <v>107</v>
      </c>
      <c r="O56" s="11" t="s">
        <v>47</v>
      </c>
      <c r="P56" s="11">
        <v>57.5</v>
      </c>
      <c r="Q56" s="11">
        <v>0.193</v>
      </c>
      <c r="R56" s="102">
        <f t="shared" si="5"/>
        <v>1.209159</v>
      </c>
      <c r="S56" s="16">
        <f t="shared" si="3"/>
        <v>13.4186420025</v>
      </c>
      <c r="T56" s="148">
        <f>E56*F56</f>
        <v>44.911219616057004</v>
      </c>
      <c r="U56" s="16">
        <f>P56*Q56*E56</f>
        <v>20.885495000000002</v>
      </c>
    </row>
    <row r="57" spans="1:21" ht="24" customHeight="1">
      <c r="A57" s="145"/>
      <c r="B57" s="146"/>
      <c r="C57" s="180"/>
      <c r="D57" s="145"/>
      <c r="E57" s="148"/>
      <c r="F57" s="148"/>
      <c r="G57" s="145"/>
      <c r="H57" s="11">
        <f t="shared" si="6"/>
        <v>1.98367</v>
      </c>
      <c r="I57" s="173"/>
      <c r="J57" s="145"/>
      <c r="K57" s="11">
        <f t="shared" si="7"/>
        <v>3.50441</v>
      </c>
      <c r="L57" s="173"/>
      <c r="M57" s="18" t="s">
        <v>58</v>
      </c>
      <c r="N57" s="19" t="s">
        <v>85</v>
      </c>
      <c r="O57" s="11" t="s">
        <v>69</v>
      </c>
      <c r="P57" s="11">
        <v>0.11</v>
      </c>
      <c r="Q57" s="20">
        <v>26.4</v>
      </c>
      <c r="R57" s="102">
        <f t="shared" si="5"/>
        <v>1.209159</v>
      </c>
      <c r="S57" s="16">
        <f t="shared" si="3"/>
        <v>3.511397736</v>
      </c>
      <c r="T57" s="148"/>
      <c r="U57" s="16">
        <f>E56*P57*Q57</f>
        <v>5.4653279999999995</v>
      </c>
    </row>
    <row r="58" spans="1:21" ht="60.75" customHeight="1">
      <c r="A58" s="11">
        <v>3</v>
      </c>
      <c r="B58" s="19" t="s">
        <v>163</v>
      </c>
      <c r="C58" s="23" t="s">
        <v>165</v>
      </c>
      <c r="D58" s="11" t="s">
        <v>54</v>
      </c>
      <c r="E58" s="16">
        <f>34.7*0.05</f>
        <v>1.7350000000000003</v>
      </c>
      <c r="F58" s="16">
        <f>I58+L58+S58</f>
        <v>30.3058041</v>
      </c>
      <c r="G58" s="16">
        <v>14.2</v>
      </c>
      <c r="H58" s="11">
        <f t="shared" si="6"/>
        <v>1.98367</v>
      </c>
      <c r="I58" s="16">
        <f>G58*H58</f>
        <v>28.168114</v>
      </c>
      <c r="J58" s="17">
        <v>0.61</v>
      </c>
      <c r="K58" s="13">
        <f t="shared" si="7"/>
        <v>3.50441</v>
      </c>
      <c r="L58" s="16">
        <f>J58*K58</f>
        <v>2.1376901</v>
      </c>
      <c r="M58" s="11"/>
      <c r="N58" s="9"/>
      <c r="O58" s="11"/>
      <c r="P58" s="35"/>
      <c r="Q58" s="42"/>
      <c r="R58" s="102">
        <f t="shared" si="5"/>
        <v>1.209159</v>
      </c>
      <c r="S58" s="16">
        <f>P58*Q58*R58</f>
        <v>0</v>
      </c>
      <c r="T58" s="16">
        <f>E58*F58</f>
        <v>52.58057011350001</v>
      </c>
      <c r="U58" s="16">
        <f>E58*S58</f>
        <v>0</v>
      </c>
    </row>
    <row r="59" spans="1:21" ht="33" customHeight="1">
      <c r="A59" s="9">
        <v>4</v>
      </c>
      <c r="B59" s="19" t="s">
        <v>89</v>
      </c>
      <c r="C59" s="18" t="s">
        <v>164</v>
      </c>
      <c r="D59" s="11" t="s">
        <v>62</v>
      </c>
      <c r="E59" s="20">
        <v>34.7</v>
      </c>
      <c r="F59" s="16">
        <f>I59+L59+S59</f>
        <v>1.8137385000000001</v>
      </c>
      <c r="G59" s="15"/>
      <c r="H59" s="11">
        <f t="shared" si="6"/>
        <v>1.98367</v>
      </c>
      <c r="I59" s="16">
        <f>G59*H59</f>
        <v>0</v>
      </c>
      <c r="J59" s="15"/>
      <c r="K59" s="36">
        <f t="shared" si="7"/>
        <v>3.50441</v>
      </c>
      <c r="L59" s="16"/>
      <c r="M59" s="18" t="s">
        <v>164</v>
      </c>
      <c r="N59" s="11" t="s">
        <v>70</v>
      </c>
      <c r="O59" s="11" t="s">
        <v>62</v>
      </c>
      <c r="P59" s="20">
        <v>1</v>
      </c>
      <c r="Q59" s="11">
        <v>1.5</v>
      </c>
      <c r="R59" s="102">
        <f t="shared" si="5"/>
        <v>1.209159</v>
      </c>
      <c r="S59" s="16">
        <f>P59*Q59*R59</f>
        <v>1.8137385000000001</v>
      </c>
      <c r="T59" s="16">
        <f>E59*F59</f>
        <v>62.93672595000001</v>
      </c>
      <c r="U59" s="16">
        <f>E59*S59</f>
        <v>62.93672595000001</v>
      </c>
    </row>
    <row r="60" spans="1:21" ht="13.5" customHeight="1">
      <c r="A60" s="152">
        <v>5</v>
      </c>
      <c r="B60" s="145" t="s">
        <v>80</v>
      </c>
      <c r="C60" s="160" t="s">
        <v>162</v>
      </c>
      <c r="D60" s="145" t="s">
        <v>88</v>
      </c>
      <c r="E60" s="148">
        <v>34.7</v>
      </c>
      <c r="F60" s="148">
        <f>I60+L60+S60+S61+S62</f>
        <v>4.036123273697001</v>
      </c>
      <c r="G60" s="145">
        <v>0.54</v>
      </c>
      <c r="H60" s="11">
        <f t="shared" si="6"/>
        <v>1.98367</v>
      </c>
      <c r="I60" s="148">
        <f>G60*H60</f>
        <v>1.0711818000000002</v>
      </c>
      <c r="J60" s="159">
        <v>0.064</v>
      </c>
      <c r="K60" s="11">
        <f t="shared" si="7"/>
        <v>3.50441</v>
      </c>
      <c r="L60" s="148">
        <f>J60*K60</f>
        <v>0.22428224</v>
      </c>
      <c r="M60" s="18" t="s">
        <v>81</v>
      </c>
      <c r="N60" s="19" t="s">
        <v>181</v>
      </c>
      <c r="O60" s="11" t="s">
        <v>47</v>
      </c>
      <c r="P60" s="16">
        <v>12.5</v>
      </c>
      <c r="Q60" s="11">
        <v>0.163</v>
      </c>
      <c r="R60" s="102">
        <f t="shared" si="5"/>
        <v>1.209159</v>
      </c>
      <c r="S60" s="16">
        <f t="shared" si="3"/>
        <v>2.4636614625</v>
      </c>
      <c r="T60" s="148">
        <f>E60*F60</f>
        <v>140.05347759728593</v>
      </c>
      <c r="U60" s="16">
        <f>E60*S60</f>
        <v>85.48905274875001</v>
      </c>
    </row>
    <row r="61" spans="1:21" ht="17.25" customHeight="1">
      <c r="A61" s="152"/>
      <c r="B61" s="145"/>
      <c r="C61" s="160"/>
      <c r="D61" s="145"/>
      <c r="E61" s="148"/>
      <c r="F61" s="148"/>
      <c r="G61" s="145"/>
      <c r="H61" s="11">
        <f t="shared" si="6"/>
        <v>1.98367</v>
      </c>
      <c r="I61" s="148"/>
      <c r="J61" s="159"/>
      <c r="K61" s="11">
        <f t="shared" si="7"/>
        <v>3.50441</v>
      </c>
      <c r="L61" s="148"/>
      <c r="M61" s="18" t="s">
        <v>97</v>
      </c>
      <c r="N61" s="9" t="s">
        <v>172</v>
      </c>
      <c r="O61" s="11" t="s">
        <v>98</v>
      </c>
      <c r="P61" s="11">
        <v>0.001</v>
      </c>
      <c r="Q61" s="17">
        <v>97.083</v>
      </c>
      <c r="R61" s="102">
        <f t="shared" si="5"/>
        <v>1.209159</v>
      </c>
      <c r="S61" s="16">
        <f t="shared" si="3"/>
        <v>0.11738878319700001</v>
      </c>
      <c r="T61" s="148"/>
      <c r="U61" s="16">
        <f>E60*S61</f>
        <v>4.0733907769359</v>
      </c>
    </row>
    <row r="62" spans="1:21" ht="18" customHeight="1">
      <c r="A62" s="152"/>
      <c r="B62" s="145"/>
      <c r="C62" s="160"/>
      <c r="D62" s="145"/>
      <c r="E62" s="148"/>
      <c r="F62" s="148"/>
      <c r="G62" s="145"/>
      <c r="H62" s="11">
        <f t="shared" si="6"/>
        <v>1.98367</v>
      </c>
      <c r="I62" s="148"/>
      <c r="J62" s="159"/>
      <c r="K62" s="11">
        <f t="shared" si="7"/>
        <v>3.50441</v>
      </c>
      <c r="L62" s="148"/>
      <c r="M62" s="18" t="s">
        <v>58</v>
      </c>
      <c r="N62" s="19" t="s">
        <v>86</v>
      </c>
      <c r="O62" s="11" t="s">
        <v>98</v>
      </c>
      <c r="P62" s="17">
        <v>0.005</v>
      </c>
      <c r="Q62" s="16">
        <v>26.4</v>
      </c>
      <c r="R62" s="102">
        <f t="shared" si="5"/>
        <v>1.209159</v>
      </c>
      <c r="S62" s="16">
        <f t="shared" si="3"/>
        <v>0.159608988</v>
      </c>
      <c r="T62" s="148"/>
      <c r="U62" s="16">
        <f>E60*S62</f>
        <v>5.5384318836</v>
      </c>
    </row>
    <row r="63" spans="1:21" ht="14.25">
      <c r="A63" s="36"/>
      <c r="B63" s="37"/>
      <c r="C63" s="15" t="s">
        <v>43</v>
      </c>
      <c r="D63" s="11"/>
      <c r="E63" s="16"/>
      <c r="F63" s="16"/>
      <c r="G63" s="11"/>
      <c r="H63" s="11">
        <f t="shared" si="6"/>
        <v>1.98367</v>
      </c>
      <c r="I63" s="16"/>
      <c r="J63" s="11"/>
      <c r="K63" s="11">
        <f t="shared" si="7"/>
        <v>3.50441</v>
      </c>
      <c r="L63" s="16"/>
      <c r="M63" s="18"/>
      <c r="N63" s="11"/>
      <c r="O63" s="11"/>
      <c r="P63" s="11"/>
      <c r="Q63" s="11"/>
      <c r="R63" s="102">
        <f t="shared" si="5"/>
        <v>1.209159</v>
      </c>
      <c r="S63" s="16">
        <f t="shared" si="3"/>
        <v>0</v>
      </c>
      <c r="T63" s="26">
        <f>SUM(T54:T62)</f>
        <v>525.2144393877929</v>
      </c>
      <c r="U63" s="26">
        <f>SUM(U54:U62)</f>
        <v>314.62547435928593</v>
      </c>
    </row>
    <row r="64" spans="1:21" ht="14.25">
      <c r="A64" s="11"/>
      <c r="B64" s="19"/>
      <c r="C64" s="38" t="s">
        <v>8</v>
      </c>
      <c r="D64" s="11"/>
      <c r="E64" s="16"/>
      <c r="F64" s="16"/>
      <c r="G64" s="11"/>
      <c r="H64" s="11">
        <f t="shared" si="6"/>
        <v>1.98367</v>
      </c>
      <c r="I64" s="16"/>
      <c r="J64" s="11"/>
      <c r="K64" s="11">
        <f t="shared" si="7"/>
        <v>3.50441</v>
      </c>
      <c r="L64" s="16"/>
      <c r="M64" s="18"/>
      <c r="N64" s="19"/>
      <c r="O64" s="11"/>
      <c r="P64" s="11"/>
      <c r="Q64" s="11"/>
      <c r="R64" s="102">
        <f t="shared" si="5"/>
        <v>1.209159</v>
      </c>
      <c r="S64" s="16">
        <f aca="true" t="shared" si="8" ref="S64:S73">P64*Q64*R64</f>
        <v>0</v>
      </c>
      <c r="T64" s="16"/>
      <c r="U64" s="16"/>
    </row>
    <row r="65" spans="1:21" ht="35.25" customHeight="1">
      <c r="A65" s="11">
        <v>1</v>
      </c>
      <c r="B65" s="11" t="s">
        <v>167</v>
      </c>
      <c r="C65" s="18" t="s">
        <v>166</v>
      </c>
      <c r="D65" s="11" t="s">
        <v>79</v>
      </c>
      <c r="E65" s="16">
        <v>0.12</v>
      </c>
      <c r="F65" s="16">
        <f>I65+L65+S65</f>
        <v>255.69943450099998</v>
      </c>
      <c r="G65" s="11">
        <v>22.4</v>
      </c>
      <c r="H65" s="11">
        <f t="shared" si="6"/>
        <v>1.98367</v>
      </c>
      <c r="I65" s="16">
        <f>G65*H65</f>
        <v>44.434208</v>
      </c>
      <c r="J65" s="11">
        <v>55.2</v>
      </c>
      <c r="K65" s="11">
        <f t="shared" si="7"/>
        <v>3.50441</v>
      </c>
      <c r="L65" s="16">
        <f>J65*K65</f>
        <v>193.443432</v>
      </c>
      <c r="M65" s="18" t="s">
        <v>64</v>
      </c>
      <c r="N65" s="19" t="s">
        <v>134</v>
      </c>
      <c r="O65" s="11" t="s">
        <v>57</v>
      </c>
      <c r="P65" s="20">
        <v>17</v>
      </c>
      <c r="Q65" s="11">
        <v>0.867</v>
      </c>
      <c r="R65" s="102">
        <f t="shared" si="5"/>
        <v>1.209159</v>
      </c>
      <c r="S65" s="16">
        <f>P65*Q65*R65</f>
        <v>17.821794501000003</v>
      </c>
      <c r="T65" s="16">
        <f>E65*F65</f>
        <v>30.683932140119996</v>
      </c>
      <c r="U65" s="16">
        <f>P65*Q65*E65</f>
        <v>1.76868</v>
      </c>
    </row>
    <row r="66" spans="1:21" ht="30" customHeight="1">
      <c r="A66" s="11">
        <v>2</v>
      </c>
      <c r="B66" s="11" t="s">
        <v>5</v>
      </c>
      <c r="C66" s="18" t="s">
        <v>168</v>
      </c>
      <c r="D66" s="11" t="s">
        <v>62</v>
      </c>
      <c r="E66" s="16">
        <f>3.5*3.3</f>
        <v>11.549999999999999</v>
      </c>
      <c r="F66" s="16">
        <f>S66</f>
        <v>35.065611000000004</v>
      </c>
      <c r="G66" s="11"/>
      <c r="H66" s="11">
        <f t="shared" si="6"/>
        <v>1.98367</v>
      </c>
      <c r="I66" s="16"/>
      <c r="J66" s="11"/>
      <c r="K66" s="11">
        <f t="shared" si="7"/>
        <v>3.50441</v>
      </c>
      <c r="L66" s="16"/>
      <c r="M66" s="18" t="s">
        <v>169</v>
      </c>
      <c r="N66" s="19"/>
      <c r="O66" s="11" t="s">
        <v>62</v>
      </c>
      <c r="P66" s="20">
        <v>1</v>
      </c>
      <c r="Q66" s="20">
        <v>29</v>
      </c>
      <c r="R66" s="102">
        <f t="shared" si="5"/>
        <v>1.209159</v>
      </c>
      <c r="S66" s="16">
        <f t="shared" si="8"/>
        <v>35.065611000000004</v>
      </c>
      <c r="T66" s="16">
        <f>E66*F66</f>
        <v>405.00780705</v>
      </c>
      <c r="U66" s="16">
        <f>P66*Q66*E66</f>
        <v>334.95</v>
      </c>
    </row>
    <row r="67" spans="1:21" ht="14.25">
      <c r="A67" s="11"/>
      <c r="B67" s="11"/>
      <c r="C67" s="38" t="s">
        <v>43</v>
      </c>
      <c r="D67" s="11"/>
      <c r="E67" s="16"/>
      <c r="F67" s="11"/>
      <c r="G67" s="11"/>
      <c r="H67" s="11">
        <f t="shared" si="6"/>
        <v>1.98367</v>
      </c>
      <c r="I67" s="11"/>
      <c r="J67" s="11"/>
      <c r="K67" s="11">
        <f t="shared" si="7"/>
        <v>3.50441</v>
      </c>
      <c r="L67" s="11"/>
      <c r="M67" s="18"/>
      <c r="N67" s="11"/>
      <c r="O67" s="11"/>
      <c r="P67" s="11"/>
      <c r="Q67" s="11"/>
      <c r="R67" s="102">
        <f t="shared" si="5"/>
        <v>1.209159</v>
      </c>
      <c r="S67" s="16">
        <f t="shared" si="8"/>
        <v>0</v>
      </c>
      <c r="T67" s="26">
        <f>SUM(T65:T66)</f>
        <v>435.69173919012</v>
      </c>
      <c r="U67" s="26">
        <f>SUM(U65:U66)</f>
        <v>336.71868</v>
      </c>
    </row>
    <row r="68" spans="1:21" ht="22.5" customHeight="1">
      <c r="A68" s="145">
        <v>1</v>
      </c>
      <c r="B68" s="146" t="s">
        <v>170</v>
      </c>
      <c r="C68" s="160" t="s">
        <v>182</v>
      </c>
      <c r="D68" s="145" t="s">
        <v>62</v>
      </c>
      <c r="E68" s="147">
        <v>38</v>
      </c>
      <c r="F68" s="148">
        <f>I68+L68+S68+S69</f>
        <v>4.51114853155</v>
      </c>
      <c r="G68" s="145">
        <f>18.1/100</f>
        <v>0.18100000000000002</v>
      </c>
      <c r="H68" s="11">
        <f t="shared" si="6"/>
        <v>1.98367</v>
      </c>
      <c r="I68" s="148">
        <f>G68*H68</f>
        <v>0.35904427000000005</v>
      </c>
      <c r="J68" s="159">
        <f>15.3/100</f>
        <v>0.153</v>
      </c>
      <c r="K68" s="36">
        <f t="shared" si="7"/>
        <v>3.50441</v>
      </c>
      <c r="L68" s="148">
        <f>J68*K68</f>
        <v>0.53617473</v>
      </c>
      <c r="M68" s="18" t="s">
        <v>71</v>
      </c>
      <c r="N68" s="11" t="s">
        <v>183</v>
      </c>
      <c r="O68" s="11" t="s">
        <v>62</v>
      </c>
      <c r="P68" s="16">
        <v>1.15</v>
      </c>
      <c r="Q68" s="9">
        <v>2.583</v>
      </c>
      <c r="R68" s="102">
        <f t="shared" si="5"/>
        <v>1.209159</v>
      </c>
      <c r="S68" s="16">
        <f t="shared" si="8"/>
        <v>3.5917463515500003</v>
      </c>
      <c r="T68" s="175">
        <f>E68*F68</f>
        <v>171.4236441989</v>
      </c>
      <c r="U68" s="16">
        <f>E68*S68</f>
        <v>136.4863613589</v>
      </c>
    </row>
    <row r="69" spans="1:21" ht="37.5" customHeight="1">
      <c r="A69" s="145"/>
      <c r="B69" s="146"/>
      <c r="C69" s="160"/>
      <c r="D69" s="145"/>
      <c r="E69" s="147"/>
      <c r="F69" s="148"/>
      <c r="G69" s="145"/>
      <c r="H69" s="11">
        <f t="shared" si="6"/>
        <v>1.98367</v>
      </c>
      <c r="I69" s="148"/>
      <c r="J69" s="159"/>
      <c r="K69" s="36">
        <f t="shared" si="7"/>
        <v>3.50441</v>
      </c>
      <c r="L69" s="148"/>
      <c r="M69" s="18" t="s">
        <v>90</v>
      </c>
      <c r="N69" s="11" t="s">
        <v>171</v>
      </c>
      <c r="O69" s="11" t="s">
        <v>57</v>
      </c>
      <c r="P69" s="16">
        <v>0.02</v>
      </c>
      <c r="Q69" s="68">
        <v>1</v>
      </c>
      <c r="R69" s="102">
        <f t="shared" si="5"/>
        <v>1.209159</v>
      </c>
      <c r="S69" s="16">
        <f t="shared" si="8"/>
        <v>0.024183180000000002</v>
      </c>
      <c r="T69" s="175"/>
      <c r="U69" s="16">
        <f>E68*S69</f>
        <v>0.9189608400000001</v>
      </c>
    </row>
    <row r="70" spans="1:21" s="40" customFormat="1" ht="18.75" customHeight="1">
      <c r="A70" s="11"/>
      <c r="B70" s="182" t="s">
        <v>43</v>
      </c>
      <c r="C70" s="183"/>
      <c r="D70" s="184"/>
      <c r="E70" s="33"/>
      <c r="F70" s="30"/>
      <c r="G70" s="29"/>
      <c r="H70" s="11">
        <f t="shared" si="6"/>
        <v>1.98367</v>
      </c>
      <c r="I70" s="29"/>
      <c r="J70" s="29"/>
      <c r="K70" s="11">
        <f t="shared" si="7"/>
        <v>3.50441</v>
      </c>
      <c r="L70" s="29"/>
      <c r="M70" s="18"/>
      <c r="N70" s="19"/>
      <c r="O70" s="21"/>
      <c r="P70" s="29"/>
      <c r="Q70" s="29"/>
      <c r="R70" s="102">
        <f>R$7</f>
        <v>1.209159</v>
      </c>
      <c r="S70" s="16">
        <f t="shared" si="8"/>
        <v>0</v>
      </c>
      <c r="T70" s="43">
        <f>SUM(T68:T69)</f>
        <v>171.4236441989</v>
      </c>
      <c r="U70" s="43">
        <f>SUM(U68:U69)</f>
        <v>137.40532219890002</v>
      </c>
    </row>
    <row r="71" spans="1:21" s="40" customFormat="1" ht="14.25">
      <c r="A71" s="11"/>
      <c r="B71" s="182" t="s">
        <v>72</v>
      </c>
      <c r="C71" s="183"/>
      <c r="D71" s="184"/>
      <c r="E71" s="33"/>
      <c r="F71" s="30"/>
      <c r="G71" s="29"/>
      <c r="H71" s="11">
        <f t="shared" si="6"/>
        <v>1.98367</v>
      </c>
      <c r="I71" s="29"/>
      <c r="J71" s="29"/>
      <c r="K71" s="11">
        <f t="shared" si="7"/>
        <v>3.50441</v>
      </c>
      <c r="L71" s="29"/>
      <c r="M71" s="18"/>
      <c r="N71" s="19"/>
      <c r="O71" s="21"/>
      <c r="P71" s="29"/>
      <c r="Q71" s="29"/>
      <c r="R71" s="102">
        <f>R$7</f>
        <v>1.209159</v>
      </c>
      <c r="S71" s="16">
        <f t="shared" si="8"/>
        <v>0</v>
      </c>
      <c r="T71" s="43"/>
      <c r="U71" s="43"/>
    </row>
    <row r="72" spans="1:21" ht="36" customHeight="1">
      <c r="A72" s="11">
        <v>1</v>
      </c>
      <c r="B72" s="11" t="s">
        <v>73</v>
      </c>
      <c r="C72" s="23" t="s">
        <v>227</v>
      </c>
      <c r="D72" s="11" t="s">
        <v>54</v>
      </c>
      <c r="E72" s="20">
        <v>3.8</v>
      </c>
      <c r="F72" s="16">
        <f>I72+S72</f>
        <v>27.078716583000006</v>
      </c>
      <c r="G72" s="11">
        <v>1.62</v>
      </c>
      <c r="H72" s="11">
        <f t="shared" si="6"/>
        <v>1.98367</v>
      </c>
      <c r="I72" s="16">
        <f>G72*H72</f>
        <v>3.2135454</v>
      </c>
      <c r="J72" s="11"/>
      <c r="K72" s="11">
        <f t="shared" si="7"/>
        <v>3.50441</v>
      </c>
      <c r="L72" s="16">
        <f>J72*K72</f>
        <v>0</v>
      </c>
      <c r="M72" s="18" t="s">
        <v>65</v>
      </c>
      <c r="N72" s="19" t="s">
        <v>75</v>
      </c>
      <c r="O72" s="11" t="s">
        <v>54</v>
      </c>
      <c r="P72" s="11">
        <v>1.02</v>
      </c>
      <c r="Q72" s="11">
        <v>19.35</v>
      </c>
      <c r="R72" s="102">
        <f>R$7</f>
        <v>1.209159</v>
      </c>
      <c r="S72" s="16">
        <f t="shared" si="8"/>
        <v>23.865171183000005</v>
      </c>
      <c r="T72" s="16">
        <f>E72*F72</f>
        <v>102.89912301540002</v>
      </c>
      <c r="U72" s="16">
        <f>P72*Q72*E72</f>
        <v>75.0006</v>
      </c>
    </row>
    <row r="73" spans="1:21" s="40" customFormat="1" ht="12.75" customHeight="1">
      <c r="A73" s="11"/>
      <c r="B73" s="182" t="s">
        <v>43</v>
      </c>
      <c r="C73" s="183"/>
      <c r="D73" s="184"/>
      <c r="E73" s="29"/>
      <c r="F73" s="30"/>
      <c r="G73" s="29"/>
      <c r="H73" s="11">
        <f>H$8</f>
        <v>1.98367</v>
      </c>
      <c r="I73" s="29"/>
      <c r="J73" s="29"/>
      <c r="K73" s="11">
        <f>K$8</f>
        <v>3.50441</v>
      </c>
      <c r="L73" s="29"/>
      <c r="M73" s="18"/>
      <c r="N73" s="19"/>
      <c r="O73" s="21"/>
      <c r="P73" s="29"/>
      <c r="Q73" s="29"/>
      <c r="R73" s="102">
        <f>R$7</f>
        <v>1.209159</v>
      </c>
      <c r="S73" s="16">
        <f t="shared" si="8"/>
        <v>0</v>
      </c>
      <c r="T73" s="43">
        <f>SUM(T72:T72)</f>
        <v>102.89912301540002</v>
      </c>
      <c r="U73" s="43">
        <f>SUM(U72:U72)</f>
        <v>75.0006</v>
      </c>
    </row>
    <row r="74" spans="1:21" ht="14.25">
      <c r="A74" s="11"/>
      <c r="B74" s="11"/>
      <c r="C74" s="24" t="s">
        <v>7</v>
      </c>
      <c r="D74" s="11"/>
      <c r="E74" s="25"/>
      <c r="F74" s="23"/>
      <c r="G74" s="23"/>
      <c r="H74" s="17"/>
      <c r="I74" s="23"/>
      <c r="J74" s="23"/>
      <c r="K74" s="11"/>
      <c r="L74" s="23"/>
      <c r="M74" s="23"/>
      <c r="N74" s="19"/>
      <c r="O74" s="23"/>
      <c r="P74" s="23"/>
      <c r="Q74" s="23"/>
      <c r="R74" s="16"/>
      <c r="S74" s="23"/>
      <c r="T74" s="26">
        <f>T25+T52+T63+T67+T70+T73</f>
        <v>3713.7202005139843</v>
      </c>
      <c r="U74" s="26">
        <f>U25+U52+U63+U67+U70+U73</f>
        <v>2781.885117594899</v>
      </c>
    </row>
    <row r="75" spans="1:21" ht="13.5">
      <c r="A75" s="11"/>
      <c r="B75" s="11"/>
      <c r="C75" s="18" t="s">
        <v>16</v>
      </c>
      <c r="D75" s="46"/>
      <c r="E75" s="25"/>
      <c r="F75" s="23"/>
      <c r="G75" s="23"/>
      <c r="H75" s="17"/>
      <c r="I75" s="23"/>
      <c r="J75" s="23"/>
      <c r="K75" s="11"/>
      <c r="L75" s="23"/>
      <c r="M75" s="23"/>
      <c r="N75" s="19"/>
      <c r="O75" s="23"/>
      <c r="P75" s="23"/>
      <c r="Q75" s="23"/>
      <c r="R75" s="16"/>
      <c r="S75" s="23"/>
      <c r="T75" s="16">
        <f>T74*0.133</f>
        <v>493.92478666835996</v>
      </c>
      <c r="U75" s="16">
        <f>U74*0.133</f>
        <v>369.9907206401216</v>
      </c>
    </row>
    <row r="76" spans="1:21" ht="14.25">
      <c r="A76" s="11"/>
      <c r="B76" s="11"/>
      <c r="C76" s="24" t="s">
        <v>43</v>
      </c>
      <c r="D76" s="11"/>
      <c r="E76" s="25"/>
      <c r="F76" s="23"/>
      <c r="G76" s="23"/>
      <c r="H76" s="17"/>
      <c r="I76" s="23"/>
      <c r="J76" s="23"/>
      <c r="K76" s="23"/>
      <c r="L76" s="23"/>
      <c r="M76" s="23"/>
      <c r="N76" s="19"/>
      <c r="O76" s="23"/>
      <c r="P76" s="23"/>
      <c r="Q76" s="23"/>
      <c r="R76" s="23"/>
      <c r="S76" s="23"/>
      <c r="T76" s="26">
        <f>T74+T75</f>
        <v>4207.644987182344</v>
      </c>
      <c r="U76" s="26">
        <f>U74+U75</f>
        <v>3151.8758382350206</v>
      </c>
    </row>
    <row r="77" spans="1:21" ht="14.25">
      <c r="A77" s="11"/>
      <c r="B77" s="11"/>
      <c r="C77" s="24" t="s">
        <v>111</v>
      </c>
      <c r="D77" s="11"/>
      <c r="E77" s="25"/>
      <c r="F77" s="23"/>
      <c r="G77" s="23"/>
      <c r="H77" s="17"/>
      <c r="I77" s="23"/>
      <c r="J77" s="23"/>
      <c r="K77" s="23"/>
      <c r="L77" s="23"/>
      <c r="M77" s="23"/>
      <c r="N77" s="19"/>
      <c r="O77" s="23"/>
      <c r="P77" s="23"/>
      <c r="Q77" s="23"/>
      <c r="R77" s="23"/>
      <c r="S77" s="23"/>
      <c r="T77" s="26">
        <f>T76*0.11</f>
        <v>462.84094859005785</v>
      </c>
      <c r="U77" s="26">
        <f>U76*0.11</f>
        <v>346.70634220585225</v>
      </c>
    </row>
    <row r="78" spans="1:21" ht="14.25">
      <c r="A78" s="11"/>
      <c r="B78" s="11"/>
      <c r="C78" s="24" t="s">
        <v>43</v>
      </c>
      <c r="D78" s="11"/>
      <c r="E78" s="25"/>
      <c r="F78" s="23"/>
      <c r="G78" s="23"/>
      <c r="H78" s="17"/>
      <c r="I78" s="23"/>
      <c r="J78" s="23"/>
      <c r="K78" s="23"/>
      <c r="L78" s="23"/>
      <c r="M78" s="23"/>
      <c r="N78" s="19"/>
      <c r="O78" s="23"/>
      <c r="P78" s="23"/>
      <c r="Q78" s="23"/>
      <c r="R78" s="23"/>
      <c r="S78" s="23"/>
      <c r="T78" s="26">
        <f>SUM(T76:T77)</f>
        <v>4670.485935772402</v>
      </c>
      <c r="U78" s="26">
        <f>SUM(U76:U77)</f>
        <v>3498.582180440873</v>
      </c>
    </row>
    <row r="79" spans="1:21" ht="14.25">
      <c r="A79" s="47"/>
      <c r="B79" s="47"/>
      <c r="C79" s="48"/>
      <c r="D79" s="47"/>
      <c r="E79" s="49"/>
      <c r="F79" s="34"/>
      <c r="G79" s="34"/>
      <c r="H79" s="34"/>
      <c r="I79" s="34"/>
      <c r="J79" s="34"/>
      <c r="K79" s="34"/>
      <c r="L79" s="34"/>
      <c r="M79" s="34"/>
      <c r="N79" s="50"/>
      <c r="O79" s="34"/>
      <c r="P79" s="34"/>
      <c r="Q79" s="34"/>
      <c r="R79" s="34"/>
      <c r="S79" s="34"/>
      <c r="T79" s="51"/>
      <c r="U79" s="51"/>
    </row>
    <row r="81" spans="6:13" ht="14.25">
      <c r="F81" s="181" t="s">
        <v>23</v>
      </c>
      <c r="G81" s="181"/>
      <c r="H81" s="181"/>
      <c r="I81" s="181"/>
      <c r="J81" s="44"/>
      <c r="K81" s="44"/>
      <c r="L81" s="181"/>
      <c r="M81" s="181"/>
    </row>
  </sheetData>
  <sheetProtection/>
  <mergeCells count="156">
    <mergeCell ref="T46:T49"/>
    <mergeCell ref="L41:L43"/>
    <mergeCell ref="T41:T43"/>
    <mergeCell ref="A46:A49"/>
    <mergeCell ref="B46:B49"/>
    <mergeCell ref="C46:C49"/>
    <mergeCell ref="D46:D49"/>
    <mergeCell ref="A41:A43"/>
    <mergeCell ref="C34:C37"/>
    <mergeCell ref="D34:D37"/>
    <mergeCell ref="E34:E37"/>
    <mergeCell ref="F34:F37"/>
    <mergeCell ref="A34:A37"/>
    <mergeCell ref="L46:L49"/>
    <mergeCell ref="T11:T14"/>
    <mergeCell ref="G27:G30"/>
    <mergeCell ref="E23:E24"/>
    <mergeCell ref="J23:J24"/>
    <mergeCell ref="T34:T37"/>
    <mergeCell ref="F11:F14"/>
    <mergeCell ref="G11:G14"/>
    <mergeCell ref="G17:G20"/>
    <mergeCell ref="I21:I22"/>
    <mergeCell ref="J27:J30"/>
    <mergeCell ref="A27:A30"/>
    <mergeCell ref="B27:B30"/>
    <mergeCell ref="C27:C30"/>
    <mergeCell ref="D27:D30"/>
    <mergeCell ref="E27:E30"/>
    <mergeCell ref="C11:C14"/>
    <mergeCell ref="D11:D14"/>
    <mergeCell ref="E11:E14"/>
    <mergeCell ref="C17:C20"/>
    <mergeCell ref="A21:A22"/>
    <mergeCell ref="D17:D20"/>
    <mergeCell ref="E17:E20"/>
    <mergeCell ref="F27:F30"/>
    <mergeCell ref="F41:F43"/>
    <mergeCell ref="D23:D24"/>
    <mergeCell ref="E46:E49"/>
    <mergeCell ref="F21:F22"/>
    <mergeCell ref="D41:D43"/>
    <mergeCell ref="E41:E43"/>
    <mergeCell ref="T60:T62"/>
    <mergeCell ref="T54:T55"/>
    <mergeCell ref="T21:T22"/>
    <mergeCell ref="L54:L55"/>
    <mergeCell ref="L23:L24"/>
    <mergeCell ref="D56:D57"/>
    <mergeCell ref="E54:E55"/>
    <mergeCell ref="F54:F55"/>
    <mergeCell ref="J21:J22"/>
    <mergeCell ref="L21:L22"/>
    <mergeCell ref="J60:J62"/>
    <mergeCell ref="B73:D73"/>
    <mergeCell ref="D60:D62"/>
    <mergeCell ref="E60:E62"/>
    <mergeCell ref="J56:J57"/>
    <mergeCell ref="I56:I57"/>
    <mergeCell ref="G68:G69"/>
    <mergeCell ref="B21:B22"/>
    <mergeCell ref="C21:C22"/>
    <mergeCell ref="D21:D22"/>
    <mergeCell ref="E21:E22"/>
    <mergeCell ref="E56:E57"/>
    <mergeCell ref="C56:C57"/>
    <mergeCell ref="B56:B57"/>
    <mergeCell ref="B41:B43"/>
    <mergeCell ref="C41:C43"/>
    <mergeCell ref="B34:B37"/>
    <mergeCell ref="F81:I81"/>
    <mergeCell ref="L81:M81"/>
    <mergeCell ref="G21:G22"/>
    <mergeCell ref="B71:D71"/>
    <mergeCell ref="F46:F49"/>
    <mergeCell ref="C23:C24"/>
    <mergeCell ref="G41:G43"/>
    <mergeCell ref="I41:I43"/>
    <mergeCell ref="B23:B24"/>
    <mergeCell ref="B70:D70"/>
    <mergeCell ref="J46:J49"/>
    <mergeCell ref="J54:J55"/>
    <mergeCell ref="G54:G55"/>
    <mergeCell ref="A54:A55"/>
    <mergeCell ref="B54:B55"/>
    <mergeCell ref="C54:C55"/>
    <mergeCell ref="D54:D55"/>
    <mergeCell ref="G46:G49"/>
    <mergeCell ref="F56:F57"/>
    <mergeCell ref="I54:I55"/>
    <mergeCell ref="I23:I24"/>
    <mergeCell ref="D68:D69"/>
    <mergeCell ref="I68:I69"/>
    <mergeCell ref="A23:A24"/>
    <mergeCell ref="I46:I49"/>
    <mergeCell ref="F23:F24"/>
    <mergeCell ref="G60:G62"/>
    <mergeCell ref="I60:I62"/>
    <mergeCell ref="L34:L37"/>
    <mergeCell ref="T27:T30"/>
    <mergeCell ref="G34:G37"/>
    <mergeCell ref="L27:L30"/>
    <mergeCell ref="T23:T24"/>
    <mergeCell ref="J41:J43"/>
    <mergeCell ref="I34:I37"/>
    <mergeCell ref="I27:I30"/>
    <mergeCell ref="T56:T57"/>
    <mergeCell ref="L68:L69"/>
    <mergeCell ref="L56:L57"/>
    <mergeCell ref="L60:L62"/>
    <mergeCell ref="I11:I14"/>
    <mergeCell ref="F60:F62"/>
    <mergeCell ref="T68:T69"/>
    <mergeCell ref="L17:L20"/>
    <mergeCell ref="G23:G24"/>
    <mergeCell ref="T17:T20"/>
    <mergeCell ref="J17:J20"/>
    <mergeCell ref="F3:G3"/>
    <mergeCell ref="G6:I6"/>
    <mergeCell ref="C5:C7"/>
    <mergeCell ref="G5:S5"/>
    <mergeCell ref="F17:F20"/>
    <mergeCell ref="I17:I20"/>
    <mergeCell ref="L4:Q4"/>
    <mergeCell ref="J11:J14"/>
    <mergeCell ref="L11:L14"/>
    <mergeCell ref="A1:U1"/>
    <mergeCell ref="B2:U2"/>
    <mergeCell ref="A3:E3"/>
    <mergeCell ref="U5:U7"/>
    <mergeCell ref="T5:T7"/>
    <mergeCell ref="J6:L6"/>
    <mergeCell ref="M6:S6"/>
    <mergeCell ref="A4:E4"/>
    <mergeCell ref="E5:E7"/>
    <mergeCell ref="F4:G4"/>
    <mergeCell ref="J68:J69"/>
    <mergeCell ref="J34:J37"/>
    <mergeCell ref="A60:A62"/>
    <mergeCell ref="B60:B62"/>
    <mergeCell ref="C60:C62"/>
    <mergeCell ref="A68:A69"/>
    <mergeCell ref="B68:B69"/>
    <mergeCell ref="C68:C69"/>
    <mergeCell ref="A56:A57"/>
    <mergeCell ref="G56:G57"/>
    <mergeCell ref="D5:D7"/>
    <mergeCell ref="A11:A14"/>
    <mergeCell ref="B11:B14"/>
    <mergeCell ref="E68:E69"/>
    <mergeCell ref="F68:F69"/>
    <mergeCell ref="F5:F7"/>
    <mergeCell ref="A5:A7"/>
    <mergeCell ref="B5:B7"/>
    <mergeCell ref="A17:A20"/>
    <mergeCell ref="B17:B20"/>
  </mergeCells>
  <printOptions horizontalCentered="1"/>
  <pageMargins left="0.31496062992125984" right="0.31496062992125984" top="0.7086614173228347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showZeros="0" tabSelected="1" zoomScalePageLayoutView="0" workbookViewId="0" topLeftCell="C10">
      <selection activeCell="D16" sqref="D16"/>
    </sheetView>
  </sheetViews>
  <sheetFormatPr defaultColWidth="9.140625" defaultRowHeight="15"/>
  <cols>
    <col min="1" max="1" width="3.8515625" style="72" bestFit="1" customWidth="1"/>
    <col min="2" max="2" width="17.28125" style="73" customWidth="1"/>
    <col min="3" max="3" width="43.140625" style="72" customWidth="1"/>
    <col min="4" max="4" width="16.140625" style="72" customWidth="1"/>
    <col min="5" max="5" width="13.57421875" style="72" customWidth="1"/>
    <col min="6" max="6" width="16.57421875" style="72" customWidth="1"/>
    <col min="7" max="7" width="10.00390625" style="72" customWidth="1"/>
    <col min="8" max="8" width="18.57421875" style="72" customWidth="1"/>
    <col min="9" max="16384" width="9.140625" style="72" customWidth="1"/>
  </cols>
  <sheetData>
    <row r="1" spans="6:9" s="69" customFormat="1" ht="16.5">
      <c r="F1" s="201" t="s">
        <v>100</v>
      </c>
      <c r="G1" s="201"/>
      <c r="H1" s="201"/>
      <c r="I1" s="90"/>
    </row>
    <row r="2" spans="1:9" s="71" customFormat="1" ht="16.5" customHeight="1">
      <c r="A2" s="204"/>
      <c r="B2" s="204"/>
      <c r="F2" s="202" t="s">
        <v>228</v>
      </c>
      <c r="G2" s="202"/>
      <c r="H2" s="202"/>
      <c r="I2" s="91"/>
    </row>
    <row r="3" spans="1:9" s="71" customFormat="1" ht="16.5">
      <c r="A3" s="204"/>
      <c r="B3" s="204"/>
      <c r="F3" s="205" t="s">
        <v>229</v>
      </c>
      <c r="G3" s="205"/>
      <c r="H3" s="205"/>
      <c r="I3" s="90"/>
    </row>
    <row r="4" spans="6:9" ht="16.5">
      <c r="F4" s="206" t="s">
        <v>230</v>
      </c>
      <c r="G4" s="206"/>
      <c r="H4" s="206"/>
      <c r="I4" s="92"/>
    </row>
    <row r="5" spans="6:9" ht="18.75" customHeight="1">
      <c r="F5" s="70"/>
      <c r="G5" s="70"/>
      <c r="H5" s="70"/>
      <c r="I5" s="70"/>
    </row>
    <row r="6" spans="1:14" ht="18" customHeight="1">
      <c r="A6" s="191" t="s">
        <v>30</v>
      </c>
      <c r="B6" s="191"/>
      <c r="C6" s="191"/>
      <c r="D6" s="191"/>
      <c r="E6" s="191"/>
      <c r="F6" s="191"/>
      <c r="G6" s="191"/>
      <c r="H6" s="191"/>
      <c r="K6" s="124"/>
      <c r="L6" s="201"/>
      <c r="M6" s="201"/>
      <c r="N6" s="201"/>
    </row>
    <row r="7" spans="1:14" ht="17.25">
      <c r="A7" s="191" t="s">
        <v>160</v>
      </c>
      <c r="B7" s="191"/>
      <c r="C7" s="191"/>
      <c r="D7" s="191"/>
      <c r="E7" s="191"/>
      <c r="F7" s="191"/>
      <c r="G7" s="191"/>
      <c r="H7" s="191"/>
      <c r="K7" s="202"/>
      <c r="L7" s="202"/>
      <c r="M7" s="202"/>
      <c r="N7" s="202"/>
    </row>
    <row r="8" spans="11:14" ht="16.5">
      <c r="K8" s="201"/>
      <c r="L8" s="201"/>
      <c r="M8" s="201"/>
      <c r="N8" s="201"/>
    </row>
    <row r="9" spans="1:14" ht="18.75" customHeight="1">
      <c r="A9" s="192" t="s">
        <v>184</v>
      </c>
      <c r="B9" s="192"/>
      <c r="C9" s="192"/>
      <c r="D9" s="193" t="s">
        <v>19</v>
      </c>
      <c r="E9" s="193"/>
      <c r="F9" s="193"/>
      <c r="G9" s="74">
        <f>H33</f>
        <v>5993.856906781559</v>
      </c>
      <c r="H9" s="75" t="s">
        <v>18</v>
      </c>
      <c r="K9" s="203"/>
      <c r="L9" s="203"/>
      <c r="M9" s="203"/>
      <c r="N9" s="203"/>
    </row>
    <row r="10" spans="1:8" ht="18.75" customHeight="1">
      <c r="A10" s="194" t="s">
        <v>24</v>
      </c>
      <c r="B10" s="195" t="s">
        <v>31</v>
      </c>
      <c r="C10" s="194" t="s">
        <v>32</v>
      </c>
      <c r="D10" s="196" t="s">
        <v>28</v>
      </c>
      <c r="E10" s="197"/>
      <c r="F10" s="197"/>
      <c r="G10" s="198"/>
      <c r="H10" s="199" t="s">
        <v>21</v>
      </c>
    </row>
    <row r="11" spans="1:8" ht="48.75" customHeight="1">
      <c r="A11" s="194"/>
      <c r="B11" s="195"/>
      <c r="C11" s="194"/>
      <c r="D11" s="93" t="s">
        <v>29</v>
      </c>
      <c r="E11" s="93" t="s">
        <v>27</v>
      </c>
      <c r="F11" s="93" t="s">
        <v>101</v>
      </c>
      <c r="G11" s="93" t="s">
        <v>20</v>
      </c>
      <c r="H11" s="200"/>
    </row>
    <row r="12" spans="1:8" s="77" customFormat="1" ht="11.25" customHeight="1">
      <c r="A12" s="76">
        <v>1</v>
      </c>
      <c r="B12" s="76">
        <v>2</v>
      </c>
      <c r="C12" s="76">
        <v>3</v>
      </c>
      <c r="D12" s="76">
        <v>4</v>
      </c>
      <c r="E12" s="76">
        <v>5</v>
      </c>
      <c r="F12" s="76">
        <v>6</v>
      </c>
      <c r="G12" s="76">
        <v>7</v>
      </c>
      <c r="H12" s="76">
        <v>8</v>
      </c>
    </row>
    <row r="13" spans="1:8" s="40" customFormat="1" ht="28.5">
      <c r="A13" s="78"/>
      <c r="B13" s="79"/>
      <c r="C13" s="39" t="s">
        <v>25</v>
      </c>
      <c r="D13" s="78"/>
      <c r="E13" s="78"/>
      <c r="F13" s="78"/>
      <c r="G13" s="78"/>
      <c r="H13" s="78"/>
    </row>
    <row r="14" spans="1:8" s="40" customFormat="1" ht="14.25">
      <c r="A14" s="145">
        <v>1</v>
      </c>
      <c r="B14" s="18" t="s">
        <v>17</v>
      </c>
      <c r="C14" s="18" t="s">
        <v>48</v>
      </c>
      <c r="D14" s="26">
        <f>ob!D10</f>
        <v>4670.485935772402</v>
      </c>
      <c r="E14" s="26">
        <f>ob!E10</f>
        <v>147.200319413172</v>
      </c>
      <c r="F14" s="26">
        <v>0</v>
      </c>
      <c r="G14" s="26"/>
      <c r="H14" s="26">
        <f>F14+E14+D14</f>
        <v>4817.686255185574</v>
      </c>
    </row>
    <row r="15" spans="1:8" s="40" customFormat="1" ht="3" customHeight="1" hidden="1">
      <c r="A15" s="145"/>
      <c r="B15" s="18" t="s">
        <v>102</v>
      </c>
      <c r="C15" s="18" t="s">
        <v>103</v>
      </c>
      <c r="D15" s="80">
        <v>0</v>
      </c>
      <c r="E15" s="26"/>
      <c r="F15" s="26"/>
      <c r="G15" s="26"/>
      <c r="H15" s="26">
        <f>D15</f>
        <v>0</v>
      </c>
    </row>
    <row r="16" spans="1:8" s="40" customFormat="1" ht="14.25">
      <c r="A16" s="145"/>
      <c r="B16" s="18"/>
      <c r="C16" s="39" t="s">
        <v>22</v>
      </c>
      <c r="D16" s="26">
        <f>SUM(D14:D15)</f>
        <v>4670.485935772402</v>
      </c>
      <c r="E16" s="26">
        <f>SUM(E14:E15)</f>
        <v>147.200319413172</v>
      </c>
      <c r="F16" s="26">
        <f>SUM(F14:F14)</f>
        <v>0</v>
      </c>
      <c r="G16" s="26"/>
      <c r="H16" s="26">
        <f>SUM(H14:H15)</f>
        <v>4817.686255185574</v>
      </c>
    </row>
    <row r="17" spans="1:8" s="40" customFormat="1" ht="15" customHeight="1">
      <c r="A17" s="145">
        <v>2</v>
      </c>
      <c r="B17" s="160" t="s">
        <v>127</v>
      </c>
      <c r="C17" s="24" t="s">
        <v>112</v>
      </c>
      <c r="D17" s="148">
        <f>D16*0/100</f>
        <v>0</v>
      </c>
      <c r="E17" s="148">
        <f>E16*0/100</f>
        <v>0</v>
      </c>
      <c r="F17" s="148"/>
      <c r="G17" s="148"/>
      <c r="H17" s="148">
        <f>D17+E17</f>
        <v>0</v>
      </c>
    </row>
    <row r="18" spans="1:8" s="40" customFormat="1" ht="24" customHeight="1">
      <c r="A18" s="145"/>
      <c r="B18" s="160"/>
      <c r="C18" s="18" t="s">
        <v>113</v>
      </c>
      <c r="D18" s="148"/>
      <c r="E18" s="148"/>
      <c r="F18" s="148"/>
      <c r="G18" s="148"/>
      <c r="H18" s="148"/>
    </row>
    <row r="19" spans="1:10" s="40" customFormat="1" ht="14.25">
      <c r="A19" s="11"/>
      <c r="B19" s="18"/>
      <c r="C19" s="39" t="s">
        <v>114</v>
      </c>
      <c r="D19" s="26">
        <f>D16+D17</f>
        <v>4670.485935772402</v>
      </c>
      <c r="E19" s="26">
        <f>E17+E16</f>
        <v>147.200319413172</v>
      </c>
      <c r="F19" s="26">
        <f>F17+F16</f>
        <v>0</v>
      </c>
      <c r="G19" s="26"/>
      <c r="H19" s="26">
        <f>H16+H17</f>
        <v>4817.686255185574</v>
      </c>
      <c r="J19" s="94"/>
    </row>
    <row r="20" spans="1:8" s="40" customFormat="1" ht="14.25">
      <c r="A20" s="145">
        <v>3</v>
      </c>
      <c r="B20" s="160" t="s">
        <v>128</v>
      </c>
      <c r="C20" s="24" t="s">
        <v>115</v>
      </c>
      <c r="D20" s="16"/>
      <c r="E20" s="16"/>
      <c r="F20" s="16"/>
      <c r="G20" s="16"/>
      <c r="H20" s="16"/>
    </row>
    <row r="21" spans="1:8" s="40" customFormat="1" ht="27">
      <c r="A21" s="145"/>
      <c r="B21" s="160"/>
      <c r="C21" s="18" t="s">
        <v>116</v>
      </c>
      <c r="D21" s="16">
        <f>D19*0</f>
        <v>0</v>
      </c>
      <c r="E21" s="16">
        <f>E19*0/100</f>
        <v>0</v>
      </c>
      <c r="F21" s="16"/>
      <c r="G21" s="16"/>
      <c r="H21" s="16">
        <f>E21+D21</f>
        <v>0</v>
      </c>
    </row>
    <row r="22" spans="1:8" s="40" customFormat="1" ht="14.25">
      <c r="A22" s="11"/>
      <c r="B22" s="18"/>
      <c r="C22" s="39" t="s">
        <v>117</v>
      </c>
      <c r="D22" s="26">
        <f>D19+D21</f>
        <v>4670.485935772402</v>
      </c>
      <c r="E22" s="26">
        <f>E19+E21</f>
        <v>147.200319413172</v>
      </c>
      <c r="F22" s="26">
        <f>F21+F19+F17</f>
        <v>0</v>
      </c>
      <c r="G22" s="26"/>
      <c r="H22" s="26">
        <f>H19+H21</f>
        <v>4817.686255185574</v>
      </c>
    </row>
    <row r="23" spans="1:8" s="40" customFormat="1" ht="67.5">
      <c r="A23" s="11">
        <v>4</v>
      </c>
      <c r="B23" s="18" t="s">
        <v>118</v>
      </c>
      <c r="C23" s="18" t="s">
        <v>119</v>
      </c>
      <c r="D23" s="16">
        <f>D22*0</f>
        <v>0</v>
      </c>
      <c r="E23" s="16">
        <f>E22*0/100</f>
        <v>0</v>
      </c>
      <c r="F23" s="16"/>
      <c r="G23" s="16"/>
      <c r="H23" s="16">
        <f>E23+D23</f>
        <v>0</v>
      </c>
    </row>
    <row r="24" spans="1:8" s="40" customFormat="1" ht="60" customHeight="1">
      <c r="A24" s="11">
        <v>5</v>
      </c>
      <c r="B24" s="18" t="s">
        <v>129</v>
      </c>
      <c r="C24" s="18" t="s">
        <v>120</v>
      </c>
      <c r="D24" s="16">
        <f>D22*0</f>
        <v>0</v>
      </c>
      <c r="E24" s="16">
        <f>E22*0</f>
        <v>0</v>
      </c>
      <c r="F24" s="16"/>
      <c r="G24" s="16"/>
      <c r="H24" s="16">
        <f>D24+E24</f>
        <v>0</v>
      </c>
    </row>
    <row r="25" spans="1:8" s="40" customFormat="1" ht="17.25" customHeight="1">
      <c r="A25" s="11"/>
      <c r="B25" s="18"/>
      <c r="C25" s="39" t="s">
        <v>117</v>
      </c>
      <c r="D25" s="26">
        <f>D22+D23+D24</f>
        <v>4670.485935772402</v>
      </c>
      <c r="E25" s="26">
        <f>E22+E23+E24</f>
        <v>147.200319413172</v>
      </c>
      <c r="F25" s="26">
        <f>SUM(F22:F24)</f>
        <v>0</v>
      </c>
      <c r="G25" s="26"/>
      <c r="H25" s="26">
        <f>H22+H23+H24</f>
        <v>4817.686255185574</v>
      </c>
    </row>
    <row r="26" spans="1:8" s="40" customFormat="1" ht="54">
      <c r="A26" s="11"/>
      <c r="B26" s="18" t="s">
        <v>121</v>
      </c>
      <c r="C26" s="39" t="s">
        <v>122</v>
      </c>
      <c r="D26" s="16"/>
      <c r="E26" s="26"/>
      <c r="F26" s="16"/>
      <c r="G26" s="16"/>
      <c r="H26" s="16"/>
    </row>
    <row r="27" spans="1:8" s="40" customFormat="1" ht="14.25">
      <c r="A27" s="11">
        <v>6</v>
      </c>
      <c r="B27" s="95">
        <v>0.02</v>
      </c>
      <c r="C27" s="23" t="s">
        <v>123</v>
      </c>
      <c r="D27" s="16"/>
      <c r="E27" s="26"/>
      <c r="F27" s="16"/>
      <c r="G27" s="16">
        <f>H25*0.02</f>
        <v>96.35372510371148</v>
      </c>
      <c r="H27" s="16">
        <f>G27</f>
        <v>96.35372510371148</v>
      </c>
    </row>
    <row r="28" spans="1:8" s="40" customFormat="1" ht="14.25">
      <c r="A28" s="11">
        <v>7</v>
      </c>
      <c r="B28" s="95">
        <v>0.006</v>
      </c>
      <c r="C28" s="23" t="s">
        <v>124</v>
      </c>
      <c r="D28" s="16"/>
      <c r="E28" s="26"/>
      <c r="F28" s="16"/>
      <c r="G28" s="16">
        <f>H25*0.006</f>
        <v>28.906117531113445</v>
      </c>
      <c r="H28" s="16">
        <f>G28</f>
        <v>28.906117531113445</v>
      </c>
    </row>
    <row r="29" spans="1:8" s="40" customFormat="1" ht="14.25">
      <c r="A29" s="11"/>
      <c r="B29" s="18"/>
      <c r="C29" s="39" t="s">
        <v>117</v>
      </c>
      <c r="D29" s="26">
        <f>SUM(D25:D28)</f>
        <v>4670.485935772402</v>
      </c>
      <c r="E29" s="26">
        <f>SUM(E25:E28)</f>
        <v>147.200319413172</v>
      </c>
      <c r="F29" s="26">
        <f>SUM(F25:F28)</f>
        <v>0</v>
      </c>
      <c r="G29" s="26">
        <f>G27+G28</f>
        <v>125.25984263482493</v>
      </c>
      <c r="H29" s="26">
        <f>H25+H27+H28</f>
        <v>4942.946097820399</v>
      </c>
    </row>
    <row r="30" spans="1:8" s="40" customFormat="1" ht="14.25">
      <c r="A30" s="11">
        <v>8</v>
      </c>
      <c r="B30" s="81">
        <v>0.03</v>
      </c>
      <c r="C30" s="23" t="s">
        <v>125</v>
      </c>
      <c r="D30" s="16">
        <f>D29*0.01</f>
        <v>46.70485935772402</v>
      </c>
      <c r="E30" s="16">
        <f>E29*0.01</f>
        <v>1.47200319413172</v>
      </c>
      <c r="F30" s="16"/>
      <c r="G30" s="16">
        <f>G29*0.03</f>
        <v>3.757795279044748</v>
      </c>
      <c r="H30" s="26">
        <f>D30+G30+E30</f>
        <v>51.93465783090049</v>
      </c>
    </row>
    <row r="31" spans="1:8" s="40" customFormat="1" ht="14.25">
      <c r="A31" s="11"/>
      <c r="B31" s="18"/>
      <c r="C31" s="39" t="s">
        <v>43</v>
      </c>
      <c r="D31" s="26">
        <f>D29+D30</f>
        <v>4717.1907951301255</v>
      </c>
      <c r="E31" s="26">
        <f>E30+E29</f>
        <v>148.67232260730373</v>
      </c>
      <c r="F31" s="26">
        <f>F30+F29</f>
        <v>0</v>
      </c>
      <c r="G31" s="26">
        <f>G29+G30</f>
        <v>129.0176379138697</v>
      </c>
      <c r="H31" s="26">
        <f>H29+H30</f>
        <v>4994.880755651299</v>
      </c>
    </row>
    <row r="32" spans="1:8" s="82" customFormat="1" ht="14.25">
      <c r="A32" s="11">
        <v>9</v>
      </c>
      <c r="B32" s="81">
        <v>0.2</v>
      </c>
      <c r="C32" s="39" t="s">
        <v>26</v>
      </c>
      <c r="D32" s="16">
        <f>D31*0.2</f>
        <v>943.4381590260251</v>
      </c>
      <c r="E32" s="16">
        <f>E31*B32</f>
        <v>29.734464521460747</v>
      </c>
      <c r="F32" s="16"/>
      <c r="G32" s="16">
        <f>G31*0.2</f>
        <v>25.80352758277394</v>
      </c>
      <c r="H32" s="16">
        <f>H31*0.2</f>
        <v>998.97615113026</v>
      </c>
    </row>
    <row r="33" spans="1:10" ht="16.5">
      <c r="A33" s="83"/>
      <c r="B33" s="84"/>
      <c r="C33" s="85" t="s">
        <v>43</v>
      </c>
      <c r="D33" s="86">
        <f>D31+D32</f>
        <v>5660.628954156151</v>
      </c>
      <c r="E33" s="86">
        <f>E32+E31</f>
        <v>178.40678712876448</v>
      </c>
      <c r="F33" s="86">
        <f>F32+F31</f>
        <v>0</v>
      </c>
      <c r="G33" s="86">
        <f>G31+G32</f>
        <v>154.82116549664363</v>
      </c>
      <c r="H33" s="86">
        <f>H31+H32</f>
        <v>5993.856906781559</v>
      </c>
      <c r="J33" s="87"/>
    </row>
    <row r="34" spans="1:8" ht="16.5">
      <c r="A34" s="83"/>
      <c r="B34" s="84"/>
      <c r="C34" s="39" t="s">
        <v>126</v>
      </c>
      <c r="D34" s="86"/>
      <c r="E34" s="86"/>
      <c r="F34" s="86"/>
      <c r="G34" s="86"/>
      <c r="H34" s="86">
        <f>H17*0.15</f>
        <v>0</v>
      </c>
    </row>
    <row r="35" ht="28.5" customHeight="1"/>
    <row r="36" spans="4:7" ht="16.5">
      <c r="D36" s="88" t="s">
        <v>23</v>
      </c>
      <c r="F36" s="181"/>
      <c r="G36" s="181"/>
    </row>
  </sheetData>
  <sheetProtection/>
  <mergeCells count="30">
    <mergeCell ref="L6:N6"/>
    <mergeCell ref="K7:N7"/>
    <mergeCell ref="K8:N8"/>
    <mergeCell ref="K9:N9"/>
    <mergeCell ref="F1:H1"/>
    <mergeCell ref="A2:B2"/>
    <mergeCell ref="F2:H2"/>
    <mergeCell ref="A3:B3"/>
    <mergeCell ref="F3:H3"/>
    <mergeCell ref="F4:H4"/>
    <mergeCell ref="F17:F18"/>
    <mergeCell ref="A6:H6"/>
    <mergeCell ref="A7:H7"/>
    <mergeCell ref="A9:C9"/>
    <mergeCell ref="D9:F9"/>
    <mergeCell ref="A10:A11"/>
    <mergeCell ref="B10:B11"/>
    <mergeCell ref="C10:C11"/>
    <mergeCell ref="D10:G10"/>
    <mergeCell ref="H10:H11"/>
    <mergeCell ref="G17:G18"/>
    <mergeCell ref="H17:H18"/>
    <mergeCell ref="A20:A21"/>
    <mergeCell ref="B20:B21"/>
    <mergeCell ref="F36:G36"/>
    <mergeCell ref="A14:A16"/>
    <mergeCell ref="A17:A18"/>
    <mergeCell ref="B17:B18"/>
    <mergeCell ref="D17:D18"/>
    <mergeCell ref="E17:E18"/>
  </mergeCells>
  <printOptions/>
  <pageMargins left="0.31496062992125984" right="0.31496062992125984" top="0.7086614173228347" bottom="0.3149606299212598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29"/>
  <sheetViews>
    <sheetView zoomScalePageLayoutView="0" workbookViewId="0" topLeftCell="A1">
      <selection activeCell="G46" sqref="G46"/>
    </sheetView>
  </sheetViews>
  <sheetFormatPr defaultColWidth="9.140625" defaultRowHeight="15"/>
  <cols>
    <col min="1" max="1" width="3.421875" style="5" customWidth="1"/>
    <col min="2" max="2" width="6.8515625" style="5" customWidth="1"/>
    <col min="3" max="3" width="29.57421875" style="5" customWidth="1"/>
    <col min="4" max="4" width="4.8515625" style="5" customWidth="1"/>
    <col min="5" max="5" width="5.57421875" style="5" customWidth="1"/>
    <col min="6" max="6" width="8.421875" style="5" customWidth="1"/>
    <col min="7" max="7" width="7.57421875" style="5" customWidth="1"/>
    <col min="8" max="8" width="6.421875" style="5" hidden="1" customWidth="1"/>
    <col min="9" max="9" width="6.57421875" style="5" customWidth="1"/>
    <col min="10" max="10" width="7.140625" style="5" customWidth="1"/>
    <col min="11" max="11" width="5.8515625" style="5" hidden="1" customWidth="1"/>
    <col min="12" max="12" width="6.7109375" style="5" customWidth="1"/>
    <col min="13" max="13" width="10.140625" style="5" customWidth="1"/>
    <col min="14" max="14" width="6.57421875" style="5" customWidth="1"/>
    <col min="15" max="15" width="5.00390625" style="5" customWidth="1"/>
    <col min="16" max="16" width="7.421875" style="5" customWidth="1"/>
    <col min="17" max="17" width="6.8515625" style="5" customWidth="1"/>
    <col min="18" max="18" width="7.140625" style="5" hidden="1" customWidth="1"/>
    <col min="19" max="19" width="7.140625" style="5" customWidth="1"/>
    <col min="20" max="20" width="9.28125" style="5" customWidth="1"/>
    <col min="21" max="21" width="8.140625" style="5" customWidth="1"/>
    <col min="22" max="22" width="9.140625" style="5" customWidth="1"/>
    <col min="23" max="23" width="11.7109375" style="5" bestFit="1" customWidth="1"/>
    <col min="24" max="16384" width="9.140625" style="5" customWidth="1"/>
  </cols>
  <sheetData>
    <row r="1" spans="1:252" ht="15" customHeight="1">
      <c r="A1" s="161" t="s">
        <v>206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  <c r="IR1" s="109"/>
    </row>
    <row r="2" spans="1:21" ht="21" customHeight="1">
      <c r="A2" s="3"/>
      <c r="B2" s="161" t="s">
        <v>205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</row>
    <row r="3" spans="1:21" ht="16.5" customHeight="1">
      <c r="A3" s="3"/>
      <c r="B3" s="101"/>
      <c r="C3" s="161" t="s">
        <v>185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01"/>
      <c r="U3" s="101"/>
    </row>
    <row r="4" spans="1:8" ht="12.75" customHeight="1">
      <c r="A4" s="207" t="s">
        <v>186</v>
      </c>
      <c r="B4" s="207"/>
      <c r="C4" s="207"/>
      <c r="D4" s="207"/>
      <c r="E4" s="207"/>
      <c r="F4" s="208">
        <v>1983.67</v>
      </c>
      <c r="G4" s="208"/>
      <c r="H4" s="4"/>
    </row>
    <row r="5" spans="1:21" ht="24" customHeight="1">
      <c r="A5" s="209" t="s">
        <v>207</v>
      </c>
      <c r="B5" s="209"/>
      <c r="C5" s="209"/>
      <c r="D5" s="209"/>
      <c r="E5" s="209"/>
      <c r="F5" s="210">
        <v>3504.43</v>
      </c>
      <c r="G5" s="210"/>
      <c r="K5" s="7"/>
      <c r="L5" s="174" t="s">
        <v>49</v>
      </c>
      <c r="M5" s="174"/>
      <c r="N5" s="174"/>
      <c r="O5" s="174"/>
      <c r="P5" s="174"/>
      <c r="Q5" s="174"/>
      <c r="R5" s="174"/>
      <c r="S5" s="174"/>
      <c r="T5" s="110">
        <f>T26</f>
        <v>147.200319413172</v>
      </c>
      <c r="U5" s="111" t="s">
        <v>187</v>
      </c>
    </row>
    <row r="6" spans="1:21" ht="12.75" customHeight="1">
      <c r="A6" s="152" t="s">
        <v>41</v>
      </c>
      <c r="B6" s="144" t="s">
        <v>9</v>
      </c>
      <c r="C6" s="152" t="s">
        <v>42</v>
      </c>
      <c r="D6" s="144" t="s">
        <v>13</v>
      </c>
      <c r="E6" s="144" t="s">
        <v>45</v>
      </c>
      <c r="F6" s="149" t="s">
        <v>51</v>
      </c>
      <c r="G6" s="168" t="s">
        <v>52</v>
      </c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70"/>
      <c r="T6" s="144" t="s">
        <v>2</v>
      </c>
      <c r="U6" s="144" t="s">
        <v>11</v>
      </c>
    </row>
    <row r="7" spans="1:21" ht="43.5" customHeight="1">
      <c r="A7" s="152"/>
      <c r="B7" s="144"/>
      <c r="C7" s="152"/>
      <c r="D7" s="144"/>
      <c r="E7" s="144"/>
      <c r="F7" s="150"/>
      <c r="G7" s="164" t="s">
        <v>6</v>
      </c>
      <c r="H7" s="164"/>
      <c r="I7" s="164"/>
      <c r="J7" s="164" t="s">
        <v>10</v>
      </c>
      <c r="K7" s="164"/>
      <c r="L7" s="164"/>
      <c r="M7" s="152" t="s">
        <v>12</v>
      </c>
      <c r="N7" s="152"/>
      <c r="O7" s="152"/>
      <c r="P7" s="152"/>
      <c r="Q7" s="152"/>
      <c r="R7" s="152"/>
      <c r="S7" s="152"/>
      <c r="T7" s="144"/>
      <c r="U7" s="144"/>
    </row>
    <row r="8" spans="1:21" ht="69.75" customHeight="1">
      <c r="A8" s="152"/>
      <c r="B8" s="144"/>
      <c r="C8" s="152"/>
      <c r="D8" s="144"/>
      <c r="E8" s="144"/>
      <c r="F8" s="151"/>
      <c r="G8" s="10" t="s">
        <v>0</v>
      </c>
      <c r="H8" s="9">
        <f>F4/1000</f>
        <v>1.98367</v>
      </c>
      <c r="I8" s="10" t="s">
        <v>1</v>
      </c>
      <c r="J8" s="10" t="s">
        <v>0</v>
      </c>
      <c r="K8" s="9">
        <f>F5/1000</f>
        <v>3.5044299999999997</v>
      </c>
      <c r="L8" s="10" t="s">
        <v>1</v>
      </c>
      <c r="M8" s="9" t="s">
        <v>44</v>
      </c>
      <c r="N8" s="10" t="s">
        <v>53</v>
      </c>
      <c r="O8" s="10" t="s">
        <v>14</v>
      </c>
      <c r="P8" s="10" t="s">
        <v>45</v>
      </c>
      <c r="Q8" s="10" t="s">
        <v>3</v>
      </c>
      <c r="R8" s="112">
        <f>1.05*1.02*1.129</f>
        <v>1.209159</v>
      </c>
      <c r="S8" s="10" t="s">
        <v>4</v>
      </c>
      <c r="T8" s="144"/>
      <c r="U8" s="144"/>
    </row>
    <row r="9" spans="1:21" ht="13.5">
      <c r="A9" s="36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f>H$8</f>
        <v>1.98367</v>
      </c>
      <c r="I9" s="36">
        <v>8</v>
      </c>
      <c r="J9" s="36">
        <v>9</v>
      </c>
      <c r="K9" s="36">
        <f>K$8</f>
        <v>3.5044299999999997</v>
      </c>
      <c r="L9" s="36">
        <v>10</v>
      </c>
      <c r="M9" s="36">
        <v>11</v>
      </c>
      <c r="N9" s="36">
        <v>12</v>
      </c>
      <c r="O9" s="36">
        <v>13</v>
      </c>
      <c r="P9" s="36">
        <v>14</v>
      </c>
      <c r="Q9" s="36">
        <v>15</v>
      </c>
      <c r="R9" s="113">
        <f>R$8</f>
        <v>1.209159</v>
      </c>
      <c r="S9" s="36">
        <v>16</v>
      </c>
      <c r="T9" s="36">
        <v>17</v>
      </c>
      <c r="U9" s="36">
        <v>18</v>
      </c>
    </row>
    <row r="10" spans="1:21" s="2" customFormat="1" ht="30.75" customHeight="1">
      <c r="A10" s="11"/>
      <c r="B10" s="19"/>
      <c r="C10" s="39" t="s">
        <v>188</v>
      </c>
      <c r="D10" s="39"/>
      <c r="E10" s="11"/>
      <c r="F10" s="16"/>
      <c r="G10" s="11"/>
      <c r="H10" s="36">
        <f>H$8</f>
        <v>1.98367</v>
      </c>
      <c r="I10" s="16"/>
      <c r="J10" s="11"/>
      <c r="K10" s="36">
        <f aca="true" t="shared" si="0" ref="K10:K22">K$8</f>
        <v>3.5044299999999997</v>
      </c>
      <c r="L10" s="16"/>
      <c r="M10" s="18"/>
      <c r="N10" s="11"/>
      <c r="O10" s="11"/>
      <c r="P10" s="20"/>
      <c r="Q10" s="20"/>
      <c r="R10" s="113">
        <f>R$8</f>
        <v>1.209159</v>
      </c>
      <c r="S10" s="16"/>
      <c r="T10" s="16"/>
      <c r="U10" s="16">
        <f aca="true" t="shared" si="1" ref="U10:U15">E10*S10</f>
        <v>0</v>
      </c>
    </row>
    <row r="11" spans="1:21" s="2" customFormat="1" ht="46.5" customHeight="1">
      <c r="A11" s="11">
        <v>1</v>
      </c>
      <c r="B11" s="19" t="s">
        <v>189</v>
      </c>
      <c r="C11" s="18" t="s">
        <v>190</v>
      </c>
      <c r="D11" s="11" t="s">
        <v>47</v>
      </c>
      <c r="E11" s="20">
        <v>1</v>
      </c>
      <c r="F11" s="16">
        <f>I11+L11+S11</f>
        <v>7.695541100000001</v>
      </c>
      <c r="G11" s="29">
        <v>1.64</v>
      </c>
      <c r="H11" s="36">
        <f aca="true" t="shared" si="2" ref="H11:H22">H$8</f>
        <v>1.98367</v>
      </c>
      <c r="I11" s="16">
        <f>G11*H11</f>
        <v>3.2532188</v>
      </c>
      <c r="J11" s="29">
        <v>0.06</v>
      </c>
      <c r="K11" s="36">
        <f t="shared" si="0"/>
        <v>3.5044299999999997</v>
      </c>
      <c r="L11" s="16">
        <f aca="true" t="shared" si="3" ref="L11:L17">J11*K11</f>
        <v>0.21026579999999997</v>
      </c>
      <c r="M11" s="114" t="s">
        <v>191</v>
      </c>
      <c r="N11" s="19" t="s">
        <v>70</v>
      </c>
      <c r="O11" s="28" t="s">
        <v>47</v>
      </c>
      <c r="P11" s="115">
        <v>1</v>
      </c>
      <c r="Q11" s="33">
        <v>3.5</v>
      </c>
      <c r="R11" s="113">
        <f aca="true" t="shared" si="4" ref="R11:R17">R$8</f>
        <v>1.209159</v>
      </c>
      <c r="S11" s="16">
        <f>P11*Q11*R11</f>
        <v>4.2320565000000006</v>
      </c>
      <c r="T11" s="16">
        <f>E11*F11</f>
        <v>7.695541100000001</v>
      </c>
      <c r="U11" s="16">
        <f t="shared" si="1"/>
        <v>4.2320565000000006</v>
      </c>
    </row>
    <row r="12" spans="1:251" s="2" customFormat="1" ht="51.75" customHeight="1">
      <c r="A12" s="11">
        <v>2</v>
      </c>
      <c r="B12" s="11" t="s">
        <v>193</v>
      </c>
      <c r="C12" s="18" t="s">
        <v>226</v>
      </c>
      <c r="D12" s="11" t="s">
        <v>47</v>
      </c>
      <c r="E12" s="104">
        <v>4</v>
      </c>
      <c r="F12" s="16">
        <f>I12+L12+S12</f>
        <v>4.59513317</v>
      </c>
      <c r="G12" s="17">
        <v>0.35</v>
      </c>
      <c r="H12" s="36">
        <f t="shared" si="2"/>
        <v>1.98367</v>
      </c>
      <c r="I12" s="16">
        <f>G12*H12</f>
        <v>0.6942845</v>
      </c>
      <c r="J12" s="11">
        <v>0.009</v>
      </c>
      <c r="K12" s="36">
        <f t="shared" si="0"/>
        <v>3.5044299999999997</v>
      </c>
      <c r="L12" s="17">
        <f t="shared" si="3"/>
        <v>0.03153987</v>
      </c>
      <c r="M12" s="18" t="s">
        <v>194</v>
      </c>
      <c r="N12" s="11" t="s">
        <v>70</v>
      </c>
      <c r="O12" s="11" t="s">
        <v>47</v>
      </c>
      <c r="P12" s="116">
        <v>1</v>
      </c>
      <c r="Q12" s="20">
        <v>3.2</v>
      </c>
      <c r="R12" s="113">
        <f t="shared" si="4"/>
        <v>1.209159</v>
      </c>
      <c r="S12" s="16">
        <f>P12*Q12*R12</f>
        <v>3.8693088000000007</v>
      </c>
      <c r="T12" s="16">
        <f>E12*F12</f>
        <v>18.38053268</v>
      </c>
      <c r="U12" s="16">
        <f t="shared" si="1"/>
        <v>15.477235200000003</v>
      </c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</row>
    <row r="13" spans="1:251" s="2" customFormat="1" ht="51.75" customHeight="1">
      <c r="A13" s="11">
        <v>3</v>
      </c>
      <c r="B13" s="11" t="s">
        <v>193</v>
      </c>
      <c r="C13" s="18" t="s">
        <v>209</v>
      </c>
      <c r="D13" s="11" t="s">
        <v>47</v>
      </c>
      <c r="E13" s="104">
        <v>1</v>
      </c>
      <c r="F13" s="16">
        <f>I13+L13+S13</f>
        <v>3.50689007</v>
      </c>
      <c r="G13" s="17">
        <v>0.35</v>
      </c>
      <c r="H13" s="36">
        <f t="shared" si="2"/>
        <v>1.98367</v>
      </c>
      <c r="I13" s="16">
        <f>G13*H13</f>
        <v>0.6942845</v>
      </c>
      <c r="J13" s="11">
        <v>0.009</v>
      </c>
      <c r="K13" s="36">
        <f t="shared" si="0"/>
        <v>3.5044299999999997</v>
      </c>
      <c r="L13" s="17">
        <f t="shared" si="3"/>
        <v>0.03153987</v>
      </c>
      <c r="M13" s="18" t="s">
        <v>194</v>
      </c>
      <c r="N13" s="11" t="s">
        <v>70</v>
      </c>
      <c r="O13" s="11" t="s">
        <v>47</v>
      </c>
      <c r="P13" s="116">
        <v>1</v>
      </c>
      <c r="Q13" s="20">
        <v>2.3</v>
      </c>
      <c r="R13" s="113">
        <f t="shared" si="4"/>
        <v>1.209159</v>
      </c>
      <c r="S13" s="16">
        <f>P13*Q13*R13</f>
        <v>2.7810657</v>
      </c>
      <c r="T13" s="16">
        <f>E13*F13</f>
        <v>3.50689007</v>
      </c>
      <c r="U13" s="16">
        <f t="shared" si="1"/>
        <v>2.7810657</v>
      </c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</row>
    <row r="14" spans="1:252" s="2" customFormat="1" ht="36" customHeight="1">
      <c r="A14" s="11">
        <v>4</v>
      </c>
      <c r="B14" s="11" t="s">
        <v>195</v>
      </c>
      <c r="C14" s="18" t="s">
        <v>208</v>
      </c>
      <c r="D14" s="11" t="s">
        <v>47</v>
      </c>
      <c r="E14" s="104">
        <v>1</v>
      </c>
      <c r="F14" s="16">
        <f aca="true" t="shared" si="5" ref="F14:F21">I14+L14+S14</f>
        <v>3.9553184900000002</v>
      </c>
      <c r="G14" s="17">
        <v>0.342</v>
      </c>
      <c r="H14" s="11">
        <f>H$9</f>
        <v>1.98367</v>
      </c>
      <c r="I14" s="16">
        <f aca="true" t="shared" si="6" ref="I14:I21">G14*H14</f>
        <v>0.67841514</v>
      </c>
      <c r="J14" s="11">
        <v>0.245</v>
      </c>
      <c r="K14" s="119">
        <f t="shared" si="0"/>
        <v>3.5044299999999997</v>
      </c>
      <c r="L14" s="16">
        <f t="shared" si="3"/>
        <v>0.8585853499999999</v>
      </c>
      <c r="M14" s="18" t="s">
        <v>194</v>
      </c>
      <c r="N14" s="11" t="s">
        <v>70</v>
      </c>
      <c r="O14" s="11" t="s">
        <v>47</v>
      </c>
      <c r="P14" s="20">
        <v>1</v>
      </c>
      <c r="Q14" s="20">
        <v>2</v>
      </c>
      <c r="R14" s="113">
        <f t="shared" si="4"/>
        <v>1.209159</v>
      </c>
      <c r="S14" s="16">
        <f aca="true" t="shared" si="7" ref="S14:S21">P14*Q14*R14</f>
        <v>2.418318</v>
      </c>
      <c r="T14" s="16">
        <f>E14*F14</f>
        <v>3.9553184900000002</v>
      </c>
      <c r="U14" s="16">
        <f t="shared" si="1"/>
        <v>2.418318</v>
      </c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</row>
    <row r="15" spans="1:248" s="2" customFormat="1" ht="36" customHeight="1">
      <c r="A15" s="9">
        <v>5</v>
      </c>
      <c r="B15" s="97" t="s">
        <v>210</v>
      </c>
      <c r="C15" s="18" t="s">
        <v>212</v>
      </c>
      <c r="D15" s="9" t="s">
        <v>47</v>
      </c>
      <c r="E15" s="103">
        <v>1</v>
      </c>
      <c r="F15" s="42">
        <f t="shared" si="5"/>
        <v>8.6922837834</v>
      </c>
      <c r="G15" s="9">
        <v>1.68</v>
      </c>
      <c r="H15" s="9">
        <f>H$9</f>
        <v>1.98367</v>
      </c>
      <c r="I15" s="42">
        <f t="shared" si="6"/>
        <v>3.3325656</v>
      </c>
      <c r="J15" s="42"/>
      <c r="K15" s="9">
        <f>K$9</f>
        <v>3.5044299999999997</v>
      </c>
      <c r="L15" s="42">
        <f t="shared" si="3"/>
        <v>0</v>
      </c>
      <c r="M15" s="67" t="s">
        <v>211</v>
      </c>
      <c r="N15" s="9" t="s">
        <v>70</v>
      </c>
      <c r="O15" s="9" t="s">
        <v>47</v>
      </c>
      <c r="P15" s="68">
        <v>1</v>
      </c>
      <c r="Q15" s="17">
        <f>599*7.4/1000</f>
        <v>4.432600000000001</v>
      </c>
      <c r="R15" s="102">
        <f t="shared" si="4"/>
        <v>1.209159</v>
      </c>
      <c r="S15" s="42">
        <f t="shared" si="7"/>
        <v>5.359718183400001</v>
      </c>
      <c r="T15" s="42">
        <f>E15*F15</f>
        <v>8.6922837834</v>
      </c>
      <c r="U15" s="42">
        <f t="shared" si="1"/>
        <v>5.359718183400001</v>
      </c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</row>
    <row r="16" spans="1:21" s="2" customFormat="1" ht="45.75" customHeight="1">
      <c r="A16" s="11">
        <v>6</v>
      </c>
      <c r="B16" s="19" t="s">
        <v>196</v>
      </c>
      <c r="C16" s="18" t="s">
        <v>216</v>
      </c>
      <c r="D16" s="11" t="s">
        <v>47</v>
      </c>
      <c r="E16" s="104">
        <v>1</v>
      </c>
      <c r="F16" s="16">
        <f t="shared" si="5"/>
        <v>1.4350659250000002</v>
      </c>
      <c r="G16" s="17">
        <v>0.113</v>
      </c>
      <c r="H16" s="11">
        <f>H$9</f>
        <v>1.98367</v>
      </c>
      <c r="I16" s="16">
        <f t="shared" si="6"/>
        <v>0.22415471</v>
      </c>
      <c r="J16" s="17">
        <v>0.0005</v>
      </c>
      <c r="K16" s="119">
        <f t="shared" si="0"/>
        <v>3.5044299999999997</v>
      </c>
      <c r="L16" s="17">
        <f t="shared" si="3"/>
        <v>0.001752215</v>
      </c>
      <c r="M16" s="18" t="s">
        <v>192</v>
      </c>
      <c r="N16" s="36" t="s">
        <v>197</v>
      </c>
      <c r="O16" s="11" t="s">
        <v>47</v>
      </c>
      <c r="P16" s="116">
        <v>1</v>
      </c>
      <c r="Q16" s="20">
        <v>1</v>
      </c>
      <c r="R16" s="113">
        <f t="shared" si="4"/>
        <v>1.209159</v>
      </c>
      <c r="S16" s="16">
        <f t="shared" si="7"/>
        <v>1.209159</v>
      </c>
      <c r="T16" s="16">
        <f aca="true" t="shared" si="8" ref="T16:T21">E16*F16</f>
        <v>1.4350659250000002</v>
      </c>
      <c r="U16" s="16">
        <f aca="true" t="shared" si="9" ref="U16:U21">E16*S16</f>
        <v>1.209159</v>
      </c>
    </row>
    <row r="17" spans="1:21" s="2" customFormat="1" ht="30.75" customHeight="1">
      <c r="A17" s="11">
        <v>7</v>
      </c>
      <c r="B17" s="19" t="s">
        <v>196</v>
      </c>
      <c r="C17" s="18" t="s">
        <v>217</v>
      </c>
      <c r="D17" s="11" t="s">
        <v>47</v>
      </c>
      <c r="E17" s="104">
        <v>1</v>
      </c>
      <c r="F17" s="16">
        <f t="shared" si="5"/>
        <v>1.737355675</v>
      </c>
      <c r="G17" s="17">
        <v>0.113</v>
      </c>
      <c r="H17" s="36">
        <f t="shared" si="2"/>
        <v>1.98367</v>
      </c>
      <c r="I17" s="16">
        <f t="shared" si="6"/>
        <v>0.22415471</v>
      </c>
      <c r="J17" s="17">
        <v>0.0005</v>
      </c>
      <c r="K17" s="36">
        <f t="shared" si="0"/>
        <v>3.5044299999999997</v>
      </c>
      <c r="L17" s="17">
        <f t="shared" si="3"/>
        <v>0.001752215</v>
      </c>
      <c r="M17" s="18" t="s">
        <v>192</v>
      </c>
      <c r="N17" s="11" t="s">
        <v>198</v>
      </c>
      <c r="O17" s="11" t="s">
        <v>47</v>
      </c>
      <c r="P17" s="116">
        <v>1</v>
      </c>
      <c r="Q17" s="16">
        <v>1.25</v>
      </c>
      <c r="R17" s="113">
        <f t="shared" si="4"/>
        <v>1.209159</v>
      </c>
      <c r="S17" s="16">
        <f t="shared" si="7"/>
        <v>1.51144875</v>
      </c>
      <c r="T17" s="16">
        <f t="shared" si="8"/>
        <v>1.737355675</v>
      </c>
      <c r="U17" s="16">
        <f t="shared" si="9"/>
        <v>1.51144875</v>
      </c>
    </row>
    <row r="18" spans="1:21" s="2" customFormat="1" ht="54.75" customHeight="1">
      <c r="A18" s="11">
        <v>8</v>
      </c>
      <c r="B18" s="19" t="s">
        <v>199</v>
      </c>
      <c r="C18" s="18" t="s">
        <v>218</v>
      </c>
      <c r="D18" s="11" t="s">
        <v>47</v>
      </c>
      <c r="E18" s="104">
        <v>2</v>
      </c>
      <c r="F18" s="16">
        <f t="shared" si="5"/>
        <v>1.120971548</v>
      </c>
      <c r="G18" s="17">
        <v>0.125</v>
      </c>
      <c r="H18" s="36">
        <f t="shared" si="2"/>
        <v>1.98367</v>
      </c>
      <c r="I18" s="16">
        <f t="shared" si="6"/>
        <v>0.24795875</v>
      </c>
      <c r="J18" s="17"/>
      <c r="K18" s="36">
        <f t="shared" si="0"/>
        <v>3.5044299999999997</v>
      </c>
      <c r="L18" s="16"/>
      <c r="M18" s="18" t="s">
        <v>200</v>
      </c>
      <c r="N18" s="11" t="s">
        <v>201</v>
      </c>
      <c r="O18" s="11" t="s">
        <v>47</v>
      </c>
      <c r="P18" s="116">
        <v>1</v>
      </c>
      <c r="Q18" s="11">
        <v>0.722</v>
      </c>
      <c r="R18" s="119">
        <f>R$9</f>
        <v>1.209159</v>
      </c>
      <c r="S18" s="16">
        <f t="shared" si="7"/>
        <v>0.8730127980000001</v>
      </c>
      <c r="T18" s="16">
        <f t="shared" si="8"/>
        <v>2.241943096</v>
      </c>
      <c r="U18" s="16">
        <f t="shared" si="9"/>
        <v>1.7460255960000002</v>
      </c>
    </row>
    <row r="19" spans="1:21" s="2" customFormat="1" ht="45.75" customHeight="1">
      <c r="A19" s="11">
        <v>9</v>
      </c>
      <c r="B19" s="19" t="s">
        <v>202</v>
      </c>
      <c r="C19" s="18" t="s">
        <v>213</v>
      </c>
      <c r="D19" s="11" t="s">
        <v>203</v>
      </c>
      <c r="E19" s="104">
        <v>0.1</v>
      </c>
      <c r="F19" s="16">
        <f>I19+L19+S19</f>
        <v>109.25539346200001</v>
      </c>
      <c r="G19" s="11">
        <v>7.55</v>
      </c>
      <c r="H19" s="11">
        <f>H$9</f>
        <v>1.98367</v>
      </c>
      <c r="I19" s="16">
        <f>G19*H19</f>
        <v>14.9767085</v>
      </c>
      <c r="J19" s="11">
        <v>3.71</v>
      </c>
      <c r="K19" s="119">
        <f t="shared" si="0"/>
        <v>3.5044299999999997</v>
      </c>
      <c r="L19" s="16">
        <f>J19*K19</f>
        <v>13.001435299999999</v>
      </c>
      <c r="M19" s="18" t="s">
        <v>219</v>
      </c>
      <c r="N19" s="36" t="s">
        <v>225</v>
      </c>
      <c r="O19" s="11" t="s">
        <v>46</v>
      </c>
      <c r="P19" s="116">
        <v>102</v>
      </c>
      <c r="Q19" s="108">
        <v>0.659</v>
      </c>
      <c r="R19" s="113">
        <f>R$8</f>
        <v>1.209159</v>
      </c>
      <c r="S19" s="16">
        <f>P19*Q19*R19</f>
        <v>81.27724966200002</v>
      </c>
      <c r="T19" s="16">
        <f>E19*F19</f>
        <v>10.925539346200003</v>
      </c>
      <c r="U19" s="16">
        <f>E19*S19</f>
        <v>8.127724966200002</v>
      </c>
    </row>
    <row r="20" spans="1:21" s="2" customFormat="1" ht="45.75" customHeight="1">
      <c r="A20" s="11">
        <v>10</v>
      </c>
      <c r="B20" s="19" t="s">
        <v>202</v>
      </c>
      <c r="C20" s="18" t="s">
        <v>214</v>
      </c>
      <c r="D20" s="11" t="s">
        <v>203</v>
      </c>
      <c r="E20" s="122">
        <v>0.35</v>
      </c>
      <c r="F20" s="16">
        <f t="shared" si="5"/>
        <v>80.765189104</v>
      </c>
      <c r="G20" s="11">
        <v>7.55</v>
      </c>
      <c r="H20" s="11">
        <f>H$9</f>
        <v>1.98367</v>
      </c>
      <c r="I20" s="16">
        <f t="shared" si="6"/>
        <v>14.9767085</v>
      </c>
      <c r="J20" s="11">
        <v>3.71</v>
      </c>
      <c r="K20" s="119">
        <f t="shared" si="0"/>
        <v>3.5044299999999997</v>
      </c>
      <c r="L20" s="16">
        <f>J20*K20</f>
        <v>13.001435299999999</v>
      </c>
      <c r="M20" s="18" t="s">
        <v>219</v>
      </c>
      <c r="N20" s="36" t="s">
        <v>224</v>
      </c>
      <c r="O20" s="11" t="s">
        <v>46</v>
      </c>
      <c r="P20" s="116">
        <v>102</v>
      </c>
      <c r="Q20" s="108">
        <v>0.428</v>
      </c>
      <c r="R20" s="113">
        <f>R$8</f>
        <v>1.209159</v>
      </c>
      <c r="S20" s="16">
        <f t="shared" si="7"/>
        <v>52.787045304</v>
      </c>
      <c r="T20" s="16">
        <f t="shared" si="8"/>
        <v>28.267816186399997</v>
      </c>
      <c r="U20" s="16">
        <f t="shared" si="9"/>
        <v>18.4754658564</v>
      </c>
    </row>
    <row r="21" spans="1:21" s="2" customFormat="1" ht="45.75" customHeight="1">
      <c r="A21" s="11">
        <v>11</v>
      </c>
      <c r="B21" s="19" t="s">
        <v>202</v>
      </c>
      <c r="C21" s="18" t="s">
        <v>215</v>
      </c>
      <c r="D21" s="11" t="s">
        <v>203</v>
      </c>
      <c r="E21" s="104">
        <v>0.5</v>
      </c>
      <c r="F21" s="16">
        <f t="shared" si="5"/>
        <v>60.415043134</v>
      </c>
      <c r="G21" s="11">
        <v>7.55</v>
      </c>
      <c r="H21" s="11">
        <f>H$9</f>
        <v>1.98367</v>
      </c>
      <c r="I21" s="16">
        <f t="shared" si="6"/>
        <v>14.9767085</v>
      </c>
      <c r="J21" s="11">
        <v>3.71</v>
      </c>
      <c r="K21" s="119">
        <f t="shared" si="0"/>
        <v>3.5044299999999997</v>
      </c>
      <c r="L21" s="16">
        <f>J21*K21</f>
        <v>13.001435299999999</v>
      </c>
      <c r="M21" s="18" t="s">
        <v>219</v>
      </c>
      <c r="N21" s="36" t="s">
        <v>223</v>
      </c>
      <c r="O21" s="11" t="s">
        <v>46</v>
      </c>
      <c r="P21" s="116">
        <v>102</v>
      </c>
      <c r="Q21" s="108">
        <v>0.263</v>
      </c>
      <c r="R21" s="113">
        <f>R$8</f>
        <v>1.209159</v>
      </c>
      <c r="S21" s="16">
        <f t="shared" si="7"/>
        <v>32.436899334</v>
      </c>
      <c r="T21" s="16">
        <f t="shared" si="8"/>
        <v>30.207521567</v>
      </c>
      <c r="U21" s="16">
        <f t="shared" si="9"/>
        <v>16.218449667</v>
      </c>
    </row>
    <row r="22" spans="1:21" s="2" customFormat="1" ht="21" customHeight="1">
      <c r="A22" s="11"/>
      <c r="B22" s="19"/>
      <c r="C22" s="24" t="s">
        <v>43</v>
      </c>
      <c r="D22" s="11"/>
      <c r="E22" s="16"/>
      <c r="F22" s="16"/>
      <c r="G22" s="11"/>
      <c r="H22" s="36">
        <f t="shared" si="2"/>
        <v>1.98367</v>
      </c>
      <c r="I22" s="16"/>
      <c r="J22" s="11"/>
      <c r="K22" s="36">
        <f t="shared" si="0"/>
        <v>3.5044299999999997</v>
      </c>
      <c r="L22" s="16"/>
      <c r="M22" s="11"/>
      <c r="N22" s="11"/>
      <c r="O22" s="11"/>
      <c r="P22" s="35"/>
      <c r="Q22" s="11"/>
      <c r="R22" s="113"/>
      <c r="S22" s="16"/>
      <c r="T22" s="26">
        <f>SUM(T11:T21)</f>
        <v>117.04580791900001</v>
      </c>
      <c r="U22" s="26">
        <f>SUM(U11:U21)</f>
        <v>77.55666741900001</v>
      </c>
    </row>
    <row r="23" spans="1:21" s="2" customFormat="1" ht="13.5">
      <c r="A23" s="11"/>
      <c r="B23" s="11"/>
      <c r="C23" s="18" t="s">
        <v>16</v>
      </c>
      <c r="D23" s="46"/>
      <c r="E23" s="23"/>
      <c r="F23" s="16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11"/>
      <c r="T23" s="16">
        <f>T22*13.3/100</f>
        <v>15.567092453227003</v>
      </c>
      <c r="U23" s="16">
        <f>U22*13.3/100</f>
        <v>10.315036766727001</v>
      </c>
    </row>
    <row r="24" spans="1:21" s="2" customFormat="1" ht="14.25">
      <c r="A24" s="11"/>
      <c r="B24" s="11"/>
      <c r="C24" s="18" t="s">
        <v>43</v>
      </c>
      <c r="D24" s="11"/>
      <c r="E24" s="23"/>
      <c r="F24" s="16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6"/>
      <c r="T24" s="26">
        <f>SUM(T22:T23)</f>
        <v>132.61290037222702</v>
      </c>
      <c r="U24" s="26">
        <f>SUM(U22:U23)</f>
        <v>87.87170418572701</v>
      </c>
    </row>
    <row r="25" spans="1:21" s="2" customFormat="1" ht="13.5">
      <c r="A25" s="11"/>
      <c r="B25" s="11"/>
      <c r="C25" s="18" t="s">
        <v>204</v>
      </c>
      <c r="D25" s="11"/>
      <c r="E25" s="23"/>
      <c r="F25" s="16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16"/>
      <c r="T25" s="16">
        <f>T24*0.11</f>
        <v>14.587419040944972</v>
      </c>
      <c r="U25" s="16">
        <f>U24*0.11</f>
        <v>9.665887460429971</v>
      </c>
    </row>
    <row r="26" spans="1:21" s="2" customFormat="1" ht="14.25">
      <c r="A26" s="11"/>
      <c r="B26" s="11"/>
      <c r="C26" s="24" t="s">
        <v>43</v>
      </c>
      <c r="D26" s="11"/>
      <c r="E26" s="23"/>
      <c r="F26" s="16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6"/>
      <c r="T26" s="26">
        <f>SUM(T24:T25)</f>
        <v>147.200319413172</v>
      </c>
      <c r="U26" s="26">
        <f>SUM(U24:U25)</f>
        <v>97.53759164615698</v>
      </c>
    </row>
    <row r="27" spans="1:21" s="2" customFormat="1" ht="14.25">
      <c r="A27" s="47"/>
      <c r="B27" s="47"/>
      <c r="C27" s="48"/>
      <c r="D27" s="47"/>
      <c r="E27" s="34"/>
      <c r="F27" s="120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51"/>
      <c r="T27" s="51"/>
      <c r="U27" s="51"/>
    </row>
    <row r="28" spans="1:21" s="2" customFormat="1" ht="14.25">
      <c r="A28" s="47"/>
      <c r="B28" s="47"/>
      <c r="C28" s="48"/>
      <c r="D28" s="47"/>
      <c r="E28" s="34"/>
      <c r="F28" s="120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51"/>
      <c r="T28" s="51"/>
      <c r="U28" s="51"/>
    </row>
    <row r="29" spans="1:20" s="2" customFormat="1" ht="14.25">
      <c r="A29" s="5"/>
      <c r="B29" s="5"/>
      <c r="C29" s="52"/>
      <c r="D29" s="5"/>
      <c r="F29" s="211" t="s">
        <v>23</v>
      </c>
      <c r="G29" s="211"/>
      <c r="H29" s="211"/>
      <c r="I29" s="121"/>
      <c r="J29" s="121"/>
      <c r="K29" s="121"/>
      <c r="L29" s="212"/>
      <c r="M29" s="212"/>
      <c r="N29" s="5"/>
      <c r="P29" s="211"/>
      <c r="Q29" s="211"/>
      <c r="R29" s="213"/>
      <c r="S29" s="213"/>
      <c r="T29" s="213"/>
    </row>
  </sheetData>
  <sheetProtection/>
  <mergeCells count="24">
    <mergeCell ref="F29:H29"/>
    <mergeCell ref="L29:M29"/>
    <mergeCell ref="P29:Q29"/>
    <mergeCell ref="R29:T29"/>
    <mergeCell ref="G6:S6"/>
    <mergeCell ref="T6:T8"/>
    <mergeCell ref="U6:U8"/>
    <mergeCell ref="G7:I7"/>
    <mergeCell ref="J7:L7"/>
    <mergeCell ref="M7:S7"/>
    <mergeCell ref="A6:A8"/>
    <mergeCell ref="B6:B8"/>
    <mergeCell ref="C6:C8"/>
    <mergeCell ref="D6:D8"/>
    <mergeCell ref="E6:E8"/>
    <mergeCell ref="F6:F8"/>
    <mergeCell ref="A1:U1"/>
    <mergeCell ref="B2:U2"/>
    <mergeCell ref="C3:S3"/>
    <mergeCell ref="A4:E4"/>
    <mergeCell ref="F4:G4"/>
    <mergeCell ref="A5:E5"/>
    <mergeCell ref="F5:G5"/>
    <mergeCell ref="L5:S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B78"/>
  <sheetViews>
    <sheetView zoomScalePageLayoutView="0" workbookViewId="0" topLeftCell="A1">
      <selection activeCell="F20" sqref="F20:F21"/>
    </sheetView>
  </sheetViews>
  <sheetFormatPr defaultColWidth="9.140625" defaultRowHeight="15"/>
  <cols>
    <col min="1" max="1" width="3.421875" style="5" customWidth="1"/>
    <col min="2" max="2" width="5.8515625" style="5" customWidth="1"/>
    <col min="3" max="3" width="28.421875" style="52" customWidth="1"/>
    <col min="4" max="4" width="8.8515625" style="5" customWidth="1"/>
    <col min="5" max="5" width="10.140625" style="41" customWidth="1"/>
    <col min="6" max="6" width="14.00390625" style="2" customWidth="1"/>
    <col min="7" max="7" width="16.140625" style="2" customWidth="1"/>
    <col min="8" max="16384" width="9.140625" style="2" customWidth="1"/>
  </cols>
  <sheetData>
    <row r="1" spans="1:236" ht="17.25" customHeight="1">
      <c r="A1" s="161" t="s">
        <v>235</v>
      </c>
      <c r="B1" s="161"/>
      <c r="C1" s="161"/>
      <c r="D1" s="161"/>
      <c r="E1" s="161"/>
      <c r="F1" s="161"/>
      <c r="G1" s="16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</row>
    <row r="2" spans="1:6" ht="16.5">
      <c r="A2" s="3"/>
      <c r="B2" s="162" t="s">
        <v>160</v>
      </c>
      <c r="C2" s="162"/>
      <c r="D2" s="162"/>
      <c r="E2" s="162"/>
      <c r="F2" s="162"/>
    </row>
    <row r="3" spans="1:7" ht="20.25" customHeight="1">
      <c r="A3" s="165"/>
      <c r="B3" s="165"/>
      <c r="C3" s="165"/>
      <c r="D3" s="165"/>
      <c r="E3" s="165"/>
      <c r="F3" s="214" t="s">
        <v>50</v>
      </c>
      <c r="G3" s="214"/>
    </row>
    <row r="4" spans="1:7" ht="15" customHeight="1">
      <c r="A4" s="152" t="s">
        <v>41</v>
      </c>
      <c r="B4" s="144" t="s">
        <v>9</v>
      </c>
      <c r="C4" s="152" t="s">
        <v>42</v>
      </c>
      <c r="D4" s="144" t="s">
        <v>13</v>
      </c>
      <c r="E4" s="166" t="s">
        <v>45</v>
      </c>
      <c r="F4" s="215" t="s">
        <v>231</v>
      </c>
      <c r="G4" s="218" t="s">
        <v>232</v>
      </c>
    </row>
    <row r="5" spans="1:7" ht="51" customHeight="1">
      <c r="A5" s="152"/>
      <c r="B5" s="144"/>
      <c r="C5" s="152"/>
      <c r="D5" s="144"/>
      <c r="E5" s="166"/>
      <c r="F5" s="216"/>
      <c r="G5" s="219"/>
    </row>
    <row r="6" spans="1:7" ht="34.5" customHeight="1">
      <c r="A6" s="152"/>
      <c r="B6" s="144"/>
      <c r="C6" s="152"/>
      <c r="D6" s="144"/>
      <c r="E6" s="166"/>
      <c r="F6" s="217"/>
      <c r="G6" s="220"/>
    </row>
    <row r="7" spans="1:7" ht="13.5">
      <c r="A7" s="13">
        <v>1</v>
      </c>
      <c r="B7" s="13">
        <v>2</v>
      </c>
      <c r="C7" s="13">
        <v>3</v>
      </c>
      <c r="D7" s="13">
        <v>4</v>
      </c>
      <c r="E7" s="89">
        <v>5</v>
      </c>
      <c r="F7" s="13">
        <v>6</v>
      </c>
      <c r="G7" s="23"/>
    </row>
    <row r="8" spans="1:7" ht="14.25">
      <c r="A8" s="11"/>
      <c r="B8" s="11"/>
      <c r="C8" s="15" t="s">
        <v>110</v>
      </c>
      <c r="D8" s="11"/>
      <c r="E8" s="16"/>
      <c r="F8" s="16"/>
      <c r="G8" s="23"/>
    </row>
    <row r="9" spans="1:229" ht="36" customHeight="1">
      <c r="A9" s="11">
        <v>1</v>
      </c>
      <c r="B9" s="19" t="s">
        <v>91</v>
      </c>
      <c r="C9" s="18" t="s">
        <v>92</v>
      </c>
      <c r="D9" s="11" t="s">
        <v>54</v>
      </c>
      <c r="E9" s="20">
        <v>1.8</v>
      </c>
      <c r="F9" s="16"/>
      <c r="G9" s="23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</row>
    <row r="10" spans="1:7" ht="20.25" customHeight="1">
      <c r="A10" s="145">
        <v>2</v>
      </c>
      <c r="B10" s="146" t="s">
        <v>132</v>
      </c>
      <c r="C10" s="160" t="s">
        <v>139</v>
      </c>
      <c r="D10" s="145" t="s">
        <v>54</v>
      </c>
      <c r="E10" s="145">
        <v>6.8</v>
      </c>
      <c r="F10" s="148"/>
      <c r="G10" s="153"/>
    </row>
    <row r="11" spans="1:7" ht="16.5" customHeight="1">
      <c r="A11" s="145"/>
      <c r="B11" s="146"/>
      <c r="C11" s="160"/>
      <c r="D11" s="145"/>
      <c r="E11" s="145"/>
      <c r="F11" s="148"/>
      <c r="G11" s="154"/>
    </row>
    <row r="12" spans="1:7" ht="15" customHeight="1">
      <c r="A12" s="145"/>
      <c r="B12" s="146"/>
      <c r="C12" s="160"/>
      <c r="D12" s="145"/>
      <c r="E12" s="145"/>
      <c r="F12" s="148"/>
      <c r="G12" s="154"/>
    </row>
    <row r="13" spans="1:7" ht="19.5" customHeight="1">
      <c r="A13" s="145"/>
      <c r="B13" s="146"/>
      <c r="C13" s="160"/>
      <c r="D13" s="145"/>
      <c r="E13" s="145"/>
      <c r="F13" s="148"/>
      <c r="G13" s="155"/>
    </row>
    <row r="14" spans="1:7" ht="18" customHeight="1">
      <c r="A14" s="11">
        <v>3</v>
      </c>
      <c r="B14" s="19" t="s">
        <v>89</v>
      </c>
      <c r="C14" s="18" t="s">
        <v>135</v>
      </c>
      <c r="D14" s="11" t="s">
        <v>79</v>
      </c>
      <c r="E14" s="17">
        <v>0.106</v>
      </c>
      <c r="F14" s="16"/>
      <c r="G14" s="23"/>
    </row>
    <row r="15" spans="1:7" ht="16.5" customHeight="1">
      <c r="A15" s="11">
        <v>4</v>
      </c>
      <c r="B15" s="19" t="s">
        <v>89</v>
      </c>
      <c r="C15" s="18" t="s">
        <v>140</v>
      </c>
      <c r="D15" s="11" t="s">
        <v>79</v>
      </c>
      <c r="E15" s="35">
        <f>0.15955+0.17115</f>
        <v>0.3307</v>
      </c>
      <c r="F15" s="16"/>
      <c r="G15" s="23"/>
    </row>
    <row r="16" spans="1:7" ht="13.5">
      <c r="A16" s="153">
        <v>5</v>
      </c>
      <c r="B16" s="156" t="s">
        <v>76</v>
      </c>
      <c r="C16" s="160" t="s">
        <v>141</v>
      </c>
      <c r="D16" s="187" t="s">
        <v>54</v>
      </c>
      <c r="E16" s="171">
        <v>2.8</v>
      </c>
      <c r="F16" s="171"/>
      <c r="G16" s="153"/>
    </row>
    <row r="17" spans="1:7" ht="13.5">
      <c r="A17" s="154"/>
      <c r="B17" s="157"/>
      <c r="C17" s="160"/>
      <c r="D17" s="187"/>
      <c r="E17" s="172"/>
      <c r="F17" s="172"/>
      <c r="G17" s="154"/>
    </row>
    <row r="18" spans="1:7" ht="13.5">
      <c r="A18" s="154"/>
      <c r="B18" s="157"/>
      <c r="C18" s="160"/>
      <c r="D18" s="187"/>
      <c r="E18" s="172"/>
      <c r="F18" s="172"/>
      <c r="G18" s="154"/>
    </row>
    <row r="19" spans="1:7" ht="13.5">
      <c r="A19" s="155"/>
      <c r="B19" s="158"/>
      <c r="C19" s="160"/>
      <c r="D19" s="187"/>
      <c r="E19" s="173"/>
      <c r="F19" s="173"/>
      <c r="G19" s="155"/>
    </row>
    <row r="20" spans="1:7" ht="23.25" customHeight="1">
      <c r="A20" s="145">
        <v>6</v>
      </c>
      <c r="B20" s="145" t="s">
        <v>104</v>
      </c>
      <c r="C20" s="180" t="s">
        <v>105</v>
      </c>
      <c r="D20" s="145" t="s">
        <v>62</v>
      </c>
      <c r="E20" s="148">
        <v>7.2</v>
      </c>
      <c r="F20" s="148"/>
      <c r="G20" s="153"/>
    </row>
    <row r="21" spans="1:7" ht="32.25" customHeight="1">
      <c r="A21" s="145"/>
      <c r="B21" s="145"/>
      <c r="C21" s="180"/>
      <c r="D21" s="145"/>
      <c r="E21" s="148"/>
      <c r="F21" s="148"/>
      <c r="G21" s="155"/>
    </row>
    <row r="22" spans="1:7" s="32" customFormat="1" ht="13.5">
      <c r="A22" s="153">
        <v>7</v>
      </c>
      <c r="B22" s="156" t="s">
        <v>108</v>
      </c>
      <c r="C22" s="185" t="s">
        <v>109</v>
      </c>
      <c r="D22" s="188" t="s">
        <v>62</v>
      </c>
      <c r="E22" s="178">
        <f>(8.25*2+5.9*2+5.1*2)*0.3</f>
        <v>11.549999999999999</v>
      </c>
      <c r="F22" s="178"/>
      <c r="G22" s="221"/>
    </row>
    <row r="23" spans="1:7" s="32" customFormat="1" ht="21" customHeight="1">
      <c r="A23" s="155"/>
      <c r="B23" s="158"/>
      <c r="C23" s="186"/>
      <c r="D23" s="189"/>
      <c r="E23" s="179"/>
      <c r="F23" s="179"/>
      <c r="G23" s="222"/>
    </row>
    <row r="24" spans="1:7" ht="14.25">
      <c r="A24" s="11"/>
      <c r="B24" s="11"/>
      <c r="C24" s="24" t="s">
        <v>43</v>
      </c>
      <c r="D24" s="11"/>
      <c r="E24" s="25"/>
      <c r="F24" s="23"/>
      <c r="G24" s="23"/>
    </row>
    <row r="25" spans="1:7" ht="14.25">
      <c r="A25" s="11"/>
      <c r="B25" s="11"/>
      <c r="C25" s="15" t="s">
        <v>60</v>
      </c>
      <c r="D25" s="11"/>
      <c r="E25" s="16"/>
      <c r="F25" s="16"/>
      <c r="G25" s="23"/>
    </row>
    <row r="26" spans="1:7" ht="18" customHeight="1">
      <c r="A26" s="145">
        <v>1</v>
      </c>
      <c r="B26" s="146" t="s">
        <v>142</v>
      </c>
      <c r="C26" s="160" t="s">
        <v>143</v>
      </c>
      <c r="D26" s="145" t="s">
        <v>54</v>
      </c>
      <c r="E26" s="148">
        <f>2+1.7+1.8</f>
        <v>5.5</v>
      </c>
      <c r="F26" s="148"/>
      <c r="G26" s="153"/>
    </row>
    <row r="27" spans="1:7" ht="18" customHeight="1">
      <c r="A27" s="145"/>
      <c r="B27" s="146"/>
      <c r="C27" s="160"/>
      <c r="D27" s="145"/>
      <c r="E27" s="148"/>
      <c r="F27" s="148"/>
      <c r="G27" s="154"/>
    </row>
    <row r="28" spans="1:7" ht="16.5" customHeight="1">
      <c r="A28" s="145"/>
      <c r="B28" s="146"/>
      <c r="C28" s="160"/>
      <c r="D28" s="145"/>
      <c r="E28" s="148"/>
      <c r="F28" s="148"/>
      <c r="G28" s="154"/>
    </row>
    <row r="29" spans="1:7" ht="20.25" customHeight="1">
      <c r="A29" s="145"/>
      <c r="B29" s="146"/>
      <c r="C29" s="160"/>
      <c r="D29" s="145"/>
      <c r="E29" s="148"/>
      <c r="F29" s="148"/>
      <c r="G29" s="155"/>
    </row>
    <row r="30" spans="1:7" ht="18" customHeight="1">
      <c r="A30" s="11">
        <v>2</v>
      </c>
      <c r="B30" s="19" t="s">
        <v>89</v>
      </c>
      <c r="C30" s="18" t="s">
        <v>145</v>
      </c>
      <c r="D30" s="11" t="s">
        <v>79</v>
      </c>
      <c r="E30" s="35">
        <f>0.0568+0.0442+0.0505</f>
        <v>0.15150000000000002</v>
      </c>
      <c r="F30" s="16"/>
      <c r="G30" s="23"/>
    </row>
    <row r="31" spans="1:7" ht="19.5" customHeight="1">
      <c r="A31" s="11">
        <v>3</v>
      </c>
      <c r="B31" s="19" t="s">
        <v>89</v>
      </c>
      <c r="C31" s="18" t="s">
        <v>152</v>
      </c>
      <c r="D31" s="11" t="s">
        <v>79</v>
      </c>
      <c r="E31" s="11">
        <f>0.1174+0.0888</f>
        <v>0.2062</v>
      </c>
      <c r="F31" s="16"/>
      <c r="G31" s="23"/>
    </row>
    <row r="32" spans="1:7" ht="19.5" customHeight="1">
      <c r="A32" s="11">
        <v>4</v>
      </c>
      <c r="B32" s="19" t="s">
        <v>89</v>
      </c>
      <c r="C32" s="18" t="s">
        <v>153</v>
      </c>
      <c r="D32" s="11" t="s">
        <v>79</v>
      </c>
      <c r="E32" s="11">
        <f>0.01+0.01+0.01</f>
        <v>0.03</v>
      </c>
      <c r="F32" s="16"/>
      <c r="G32" s="23"/>
    </row>
    <row r="33" spans="1:7" ht="17.25" customHeight="1">
      <c r="A33" s="145">
        <v>5</v>
      </c>
      <c r="B33" s="146" t="s">
        <v>147</v>
      </c>
      <c r="C33" s="160" t="s">
        <v>154</v>
      </c>
      <c r="D33" s="145" t="s">
        <v>54</v>
      </c>
      <c r="E33" s="147">
        <f>1+1+1+1.1+1.1</f>
        <v>5.199999999999999</v>
      </c>
      <c r="F33" s="148"/>
      <c r="G33" s="223"/>
    </row>
    <row r="34" spans="1:7" ht="20.25" customHeight="1">
      <c r="A34" s="145"/>
      <c r="B34" s="146"/>
      <c r="C34" s="160"/>
      <c r="D34" s="145"/>
      <c r="E34" s="147"/>
      <c r="F34" s="148"/>
      <c r="G34" s="224"/>
    </row>
    <row r="35" spans="1:7" ht="16.5" customHeight="1">
      <c r="A35" s="145"/>
      <c r="B35" s="146"/>
      <c r="C35" s="160"/>
      <c r="D35" s="145"/>
      <c r="E35" s="147"/>
      <c r="F35" s="148"/>
      <c r="G35" s="224"/>
    </row>
    <row r="36" spans="1:7" ht="18.75" customHeight="1">
      <c r="A36" s="145"/>
      <c r="B36" s="146"/>
      <c r="C36" s="160"/>
      <c r="D36" s="145"/>
      <c r="E36" s="147"/>
      <c r="F36" s="148"/>
      <c r="G36" s="225"/>
    </row>
    <row r="37" spans="1:7" ht="18" customHeight="1">
      <c r="A37" s="11">
        <v>6</v>
      </c>
      <c r="B37" s="19" t="s">
        <v>89</v>
      </c>
      <c r="C37" s="18" t="s">
        <v>145</v>
      </c>
      <c r="D37" s="11" t="s">
        <v>79</v>
      </c>
      <c r="E37" s="35">
        <f>0.0442+0.0442+0.0442+0.06+0.06</f>
        <v>0.2526</v>
      </c>
      <c r="F37" s="16"/>
      <c r="G37" s="39"/>
    </row>
    <row r="38" spans="1:7" ht="18" customHeight="1">
      <c r="A38" s="11">
        <v>7</v>
      </c>
      <c r="B38" s="19" t="s">
        <v>89</v>
      </c>
      <c r="C38" s="18" t="s">
        <v>148</v>
      </c>
      <c r="D38" s="11" t="s">
        <v>79</v>
      </c>
      <c r="E38" s="11">
        <f>0.1007+0.1007+0.1007+0.1319+0.1319</f>
        <v>0.5659</v>
      </c>
      <c r="F38" s="20"/>
      <c r="G38" s="39"/>
    </row>
    <row r="39" spans="1:7" ht="19.5" customHeight="1">
      <c r="A39" s="11">
        <v>8</v>
      </c>
      <c r="B39" s="19" t="s">
        <v>89</v>
      </c>
      <c r="C39" s="18" t="s">
        <v>153</v>
      </c>
      <c r="D39" s="11" t="s">
        <v>79</v>
      </c>
      <c r="E39" s="11">
        <f>0.0088+0.0088+0.0088+0.0176+0.0175</f>
        <v>0.0615</v>
      </c>
      <c r="F39" s="16"/>
      <c r="G39" s="23"/>
    </row>
    <row r="40" spans="1:7" ht="19.5" customHeight="1">
      <c r="A40" s="145">
        <v>9</v>
      </c>
      <c r="B40" s="146" t="s">
        <v>78</v>
      </c>
      <c r="C40" s="160" t="s">
        <v>149</v>
      </c>
      <c r="D40" s="145" t="s">
        <v>54</v>
      </c>
      <c r="E40" s="145">
        <v>5.8</v>
      </c>
      <c r="F40" s="148"/>
      <c r="G40" s="153"/>
    </row>
    <row r="41" spans="1:7" ht="18.75" customHeight="1">
      <c r="A41" s="145"/>
      <c r="B41" s="146"/>
      <c r="C41" s="160"/>
      <c r="D41" s="145"/>
      <c r="E41" s="145"/>
      <c r="F41" s="148"/>
      <c r="G41" s="154"/>
    </row>
    <row r="42" spans="1:7" ht="19.5" customHeight="1">
      <c r="A42" s="145"/>
      <c r="B42" s="146"/>
      <c r="C42" s="160"/>
      <c r="D42" s="145"/>
      <c r="E42" s="145"/>
      <c r="F42" s="148"/>
      <c r="G42" s="155"/>
    </row>
    <row r="43" spans="1:7" ht="18" customHeight="1">
      <c r="A43" s="11">
        <v>10</v>
      </c>
      <c r="B43" s="19" t="s">
        <v>89</v>
      </c>
      <c r="C43" s="18" t="s">
        <v>151</v>
      </c>
      <c r="D43" s="11" t="s">
        <v>79</v>
      </c>
      <c r="E43" s="35">
        <v>0.0056</v>
      </c>
      <c r="F43" s="16"/>
      <c r="G43" s="39"/>
    </row>
    <row r="44" spans="1:7" ht="21" customHeight="1">
      <c r="A44" s="11">
        <v>11</v>
      </c>
      <c r="B44" s="19" t="s">
        <v>89</v>
      </c>
      <c r="C44" s="18" t="s">
        <v>150</v>
      </c>
      <c r="D44" s="11" t="s">
        <v>79</v>
      </c>
      <c r="E44" s="35">
        <f>0.42737*2+0.01727</f>
        <v>0.8720100000000001</v>
      </c>
      <c r="F44" s="16"/>
      <c r="G44" s="23"/>
    </row>
    <row r="45" spans="1:7" ht="15" customHeight="1">
      <c r="A45" s="145">
        <v>12</v>
      </c>
      <c r="B45" s="190" t="s">
        <v>155</v>
      </c>
      <c r="C45" s="180" t="s">
        <v>156</v>
      </c>
      <c r="D45" s="145" t="s">
        <v>54</v>
      </c>
      <c r="E45" s="145">
        <f>0.5+0.6+0.6</f>
        <v>1.7000000000000002</v>
      </c>
      <c r="F45" s="148"/>
      <c r="G45" s="153"/>
    </row>
    <row r="46" spans="1:7" ht="13.5">
      <c r="A46" s="145"/>
      <c r="B46" s="190"/>
      <c r="C46" s="180"/>
      <c r="D46" s="145"/>
      <c r="E46" s="145"/>
      <c r="F46" s="148"/>
      <c r="G46" s="154"/>
    </row>
    <row r="47" spans="1:7" ht="15" customHeight="1">
      <c r="A47" s="145"/>
      <c r="B47" s="190"/>
      <c r="C47" s="180"/>
      <c r="D47" s="145"/>
      <c r="E47" s="145"/>
      <c r="F47" s="148"/>
      <c r="G47" s="154"/>
    </row>
    <row r="48" spans="1:7" ht="19.5" customHeight="1">
      <c r="A48" s="145"/>
      <c r="B48" s="190"/>
      <c r="C48" s="180"/>
      <c r="D48" s="145"/>
      <c r="E48" s="145"/>
      <c r="F48" s="148"/>
      <c r="G48" s="155"/>
    </row>
    <row r="49" spans="1:7" ht="19.5" customHeight="1">
      <c r="A49" s="11">
        <v>13</v>
      </c>
      <c r="B49" s="19" t="s">
        <v>89</v>
      </c>
      <c r="C49" s="23" t="s">
        <v>159</v>
      </c>
      <c r="D49" s="11" t="s">
        <v>56</v>
      </c>
      <c r="E49" s="11">
        <f>0.021+0.03+0.03</f>
        <v>0.081</v>
      </c>
      <c r="F49" s="16"/>
      <c r="G49" s="23"/>
    </row>
    <row r="50" spans="1:7" s="34" customFormat="1" ht="22.5" customHeight="1">
      <c r="A50" s="11">
        <v>14</v>
      </c>
      <c r="B50" s="19" t="s">
        <v>89</v>
      </c>
      <c r="C50" s="23" t="s">
        <v>158</v>
      </c>
      <c r="D50" s="11" t="s">
        <v>56</v>
      </c>
      <c r="E50" s="11">
        <f>0.021+0.0226+0.0226</f>
        <v>0.0662</v>
      </c>
      <c r="F50" s="16"/>
      <c r="G50" s="23"/>
    </row>
    <row r="51" spans="1:7" ht="14.25">
      <c r="A51" s="11"/>
      <c r="B51" s="11"/>
      <c r="C51" s="24" t="s">
        <v>43</v>
      </c>
      <c r="D51" s="11"/>
      <c r="E51" s="25"/>
      <c r="F51" s="23"/>
      <c r="G51" s="23"/>
    </row>
    <row r="52" spans="1:7" ht="14.25">
      <c r="A52" s="11"/>
      <c r="B52" s="11"/>
      <c r="C52" s="15" t="s">
        <v>15</v>
      </c>
      <c r="D52" s="11"/>
      <c r="E52" s="16"/>
      <c r="F52" s="16"/>
      <c r="G52" s="23"/>
    </row>
    <row r="53" spans="1:7" ht="13.5">
      <c r="A53" s="145">
        <v>1</v>
      </c>
      <c r="B53" s="146" t="s">
        <v>67</v>
      </c>
      <c r="C53" s="180" t="s">
        <v>161</v>
      </c>
      <c r="D53" s="145" t="s">
        <v>54</v>
      </c>
      <c r="E53" s="148">
        <v>9.7</v>
      </c>
      <c r="F53" s="148"/>
      <c r="G53" s="153"/>
    </row>
    <row r="54" spans="1:7" ht="40.5" customHeight="1">
      <c r="A54" s="145"/>
      <c r="B54" s="146"/>
      <c r="C54" s="180"/>
      <c r="D54" s="145"/>
      <c r="E54" s="148"/>
      <c r="F54" s="148"/>
      <c r="G54" s="155"/>
    </row>
    <row r="55" spans="1:7" ht="13.5">
      <c r="A55" s="145">
        <v>2</v>
      </c>
      <c r="B55" s="146" t="s">
        <v>67</v>
      </c>
      <c r="C55" s="180" t="s">
        <v>99</v>
      </c>
      <c r="D55" s="145" t="s">
        <v>54</v>
      </c>
      <c r="E55" s="148">
        <f>((2+1.2)*3.4-2.1*0.7)*0.2</f>
        <v>1.8820000000000001</v>
      </c>
      <c r="F55" s="148"/>
      <c r="G55" s="153"/>
    </row>
    <row r="56" spans="1:7" ht="30" customHeight="1">
      <c r="A56" s="145"/>
      <c r="B56" s="146"/>
      <c r="C56" s="180"/>
      <c r="D56" s="145"/>
      <c r="E56" s="148"/>
      <c r="F56" s="148"/>
      <c r="G56" s="155"/>
    </row>
    <row r="57" spans="1:7" ht="60.75" customHeight="1">
      <c r="A57" s="11">
        <v>3</v>
      </c>
      <c r="B57" s="19" t="s">
        <v>163</v>
      </c>
      <c r="C57" s="23" t="s">
        <v>165</v>
      </c>
      <c r="D57" s="11" t="s">
        <v>54</v>
      </c>
      <c r="E57" s="16">
        <f>34.7*0.05</f>
        <v>1.7350000000000003</v>
      </c>
      <c r="F57" s="16"/>
      <c r="G57" s="23"/>
    </row>
    <row r="58" spans="1:7" ht="33" customHeight="1">
      <c r="A58" s="9">
        <v>4</v>
      </c>
      <c r="B58" s="19" t="s">
        <v>89</v>
      </c>
      <c r="C58" s="18" t="s">
        <v>164</v>
      </c>
      <c r="D58" s="11" t="s">
        <v>62</v>
      </c>
      <c r="E58" s="20">
        <v>34.7</v>
      </c>
      <c r="F58" s="16"/>
      <c r="G58" s="23"/>
    </row>
    <row r="59" spans="1:7" ht="13.5" customHeight="1">
      <c r="A59" s="152">
        <v>5</v>
      </c>
      <c r="B59" s="145" t="s">
        <v>80</v>
      </c>
      <c r="C59" s="160" t="s">
        <v>162</v>
      </c>
      <c r="D59" s="145" t="s">
        <v>88</v>
      </c>
      <c r="E59" s="148">
        <v>34.7</v>
      </c>
      <c r="F59" s="148"/>
      <c r="G59" s="153"/>
    </row>
    <row r="60" spans="1:7" ht="17.25" customHeight="1">
      <c r="A60" s="152"/>
      <c r="B60" s="145"/>
      <c r="C60" s="160"/>
      <c r="D60" s="145"/>
      <c r="E60" s="148"/>
      <c r="F60" s="148"/>
      <c r="G60" s="154"/>
    </row>
    <row r="61" spans="1:7" ht="18" customHeight="1">
      <c r="A61" s="152"/>
      <c r="B61" s="145"/>
      <c r="C61" s="160"/>
      <c r="D61" s="145"/>
      <c r="E61" s="148"/>
      <c r="F61" s="148"/>
      <c r="G61" s="155"/>
    </row>
    <row r="62" spans="1:7" ht="14.25">
      <c r="A62" s="36"/>
      <c r="B62" s="37"/>
      <c r="C62" s="15" t="s">
        <v>43</v>
      </c>
      <c r="D62" s="11"/>
      <c r="E62" s="16"/>
      <c r="F62" s="16"/>
      <c r="G62" s="23"/>
    </row>
    <row r="63" spans="1:7" ht="14.25">
      <c r="A63" s="11"/>
      <c r="B63" s="19"/>
      <c r="C63" s="38" t="s">
        <v>8</v>
      </c>
      <c r="D63" s="11"/>
      <c r="E63" s="16"/>
      <c r="F63" s="16"/>
      <c r="G63" s="23"/>
    </row>
    <row r="64" spans="1:7" ht="35.25" customHeight="1">
      <c r="A64" s="11">
        <v>1</v>
      </c>
      <c r="B64" s="11" t="s">
        <v>167</v>
      </c>
      <c r="C64" s="18" t="s">
        <v>166</v>
      </c>
      <c r="D64" s="11" t="s">
        <v>79</v>
      </c>
      <c r="E64" s="16">
        <v>0.12</v>
      </c>
      <c r="F64" s="16"/>
      <c r="G64" s="23"/>
    </row>
    <row r="65" spans="1:7" ht="30" customHeight="1">
      <c r="A65" s="11">
        <v>2</v>
      </c>
      <c r="B65" s="11" t="s">
        <v>5</v>
      </c>
      <c r="C65" s="18" t="s">
        <v>168</v>
      </c>
      <c r="D65" s="11" t="s">
        <v>62</v>
      </c>
      <c r="E65" s="16">
        <f>3.5*3.3</f>
        <v>11.549999999999999</v>
      </c>
      <c r="F65" s="16"/>
      <c r="G65" s="23"/>
    </row>
    <row r="66" spans="1:7" ht="14.25">
      <c r="A66" s="11"/>
      <c r="B66" s="11"/>
      <c r="C66" s="38" t="s">
        <v>43</v>
      </c>
      <c r="D66" s="11"/>
      <c r="E66" s="16"/>
      <c r="F66" s="11"/>
      <c r="G66" s="23"/>
    </row>
    <row r="67" spans="1:7" ht="22.5" customHeight="1">
      <c r="A67" s="145">
        <v>1</v>
      </c>
      <c r="B67" s="146" t="s">
        <v>170</v>
      </c>
      <c r="C67" s="160" t="s">
        <v>182</v>
      </c>
      <c r="D67" s="145" t="s">
        <v>62</v>
      </c>
      <c r="E67" s="147">
        <v>38</v>
      </c>
      <c r="F67" s="148"/>
      <c r="G67" s="153"/>
    </row>
    <row r="68" spans="1:7" ht="37.5" customHeight="1">
      <c r="A68" s="145"/>
      <c r="B68" s="146"/>
      <c r="C68" s="160"/>
      <c r="D68" s="145"/>
      <c r="E68" s="147"/>
      <c r="F68" s="148"/>
      <c r="G68" s="155"/>
    </row>
    <row r="69" spans="1:7" s="40" customFormat="1" ht="18.75" customHeight="1">
      <c r="A69" s="11"/>
      <c r="B69" s="182" t="s">
        <v>43</v>
      </c>
      <c r="C69" s="183"/>
      <c r="D69" s="184"/>
      <c r="E69" s="33"/>
      <c r="F69" s="30"/>
      <c r="G69" s="137"/>
    </row>
    <row r="70" spans="1:7" s="40" customFormat="1" ht="14.25">
      <c r="A70" s="11"/>
      <c r="B70" s="182" t="s">
        <v>72</v>
      </c>
      <c r="C70" s="183"/>
      <c r="D70" s="184"/>
      <c r="E70" s="33"/>
      <c r="F70" s="30"/>
      <c r="G70" s="137"/>
    </row>
    <row r="71" spans="1:7" ht="36" customHeight="1">
      <c r="A71" s="11">
        <v>1</v>
      </c>
      <c r="B71" s="11" t="s">
        <v>73</v>
      </c>
      <c r="C71" s="23" t="s">
        <v>227</v>
      </c>
      <c r="D71" s="11" t="s">
        <v>54</v>
      </c>
      <c r="E71" s="20">
        <v>3.8</v>
      </c>
      <c r="F71" s="16"/>
      <c r="G71" s="23"/>
    </row>
    <row r="72" spans="1:7" ht="14.25">
      <c r="A72" s="11"/>
      <c r="B72" s="11"/>
      <c r="C72" s="15" t="s">
        <v>43</v>
      </c>
      <c r="D72" s="11"/>
      <c r="E72" s="25"/>
      <c r="F72" s="23"/>
      <c r="G72" s="23"/>
    </row>
    <row r="73" spans="1:7" ht="14.25">
      <c r="A73" s="11"/>
      <c r="B73" s="11"/>
      <c r="C73" s="15" t="s">
        <v>233</v>
      </c>
      <c r="D73" s="46"/>
      <c r="E73" s="25"/>
      <c r="F73" s="23"/>
      <c r="G73" s="23"/>
    </row>
    <row r="74" spans="1:7" ht="14.25">
      <c r="A74" s="11"/>
      <c r="B74" s="11"/>
      <c r="C74" s="15" t="s">
        <v>234</v>
      </c>
      <c r="D74" s="11"/>
      <c r="E74" s="25"/>
      <c r="F74" s="23"/>
      <c r="G74" s="23"/>
    </row>
    <row r="75" spans="1:7" ht="14.25">
      <c r="A75" s="11"/>
      <c r="B75" s="11"/>
      <c r="C75" s="15" t="s">
        <v>43</v>
      </c>
      <c r="D75" s="11"/>
      <c r="E75" s="25"/>
      <c r="F75" s="23"/>
      <c r="G75" s="23"/>
    </row>
    <row r="76" spans="1:6" ht="14.25">
      <c r="A76" s="47"/>
      <c r="B76" s="47"/>
      <c r="C76" s="48"/>
      <c r="D76" s="47"/>
      <c r="E76" s="49"/>
      <c r="F76" s="34"/>
    </row>
    <row r="78" ht="14.25" customHeight="1">
      <c r="C78" s="125" t="s">
        <v>23</v>
      </c>
    </row>
  </sheetData>
  <sheetProtection/>
  <mergeCells count="97">
    <mergeCell ref="G55:G56"/>
    <mergeCell ref="G67:G68"/>
    <mergeCell ref="A1:G1"/>
    <mergeCell ref="B69:D69"/>
    <mergeCell ref="B70:D70"/>
    <mergeCell ref="G4:G6"/>
    <mergeCell ref="G16:G19"/>
    <mergeCell ref="G22:G23"/>
    <mergeCell ref="G33:G36"/>
    <mergeCell ref="G45:G48"/>
    <mergeCell ref="F67:F68"/>
    <mergeCell ref="G59:G61"/>
    <mergeCell ref="A67:A68"/>
    <mergeCell ref="B67:B68"/>
    <mergeCell ref="C67:C68"/>
    <mergeCell ref="D67:D68"/>
    <mergeCell ref="E67:E68"/>
    <mergeCell ref="A59:A61"/>
    <mergeCell ref="B59:B61"/>
    <mergeCell ref="C59:C61"/>
    <mergeCell ref="D59:D61"/>
    <mergeCell ref="E59:E61"/>
    <mergeCell ref="F59:F61"/>
    <mergeCell ref="F55:F56"/>
    <mergeCell ref="G53:G54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E53:E54"/>
    <mergeCell ref="F53:F54"/>
    <mergeCell ref="F45:F48"/>
    <mergeCell ref="G40:G42"/>
    <mergeCell ref="A45:A48"/>
    <mergeCell ref="B45:B48"/>
    <mergeCell ref="C45:C48"/>
    <mergeCell ref="D45:D48"/>
    <mergeCell ref="E45:E48"/>
    <mergeCell ref="A40:A42"/>
    <mergeCell ref="B40:B42"/>
    <mergeCell ref="C40:C42"/>
    <mergeCell ref="D40:D42"/>
    <mergeCell ref="E40:E42"/>
    <mergeCell ref="F40:F42"/>
    <mergeCell ref="F33:F36"/>
    <mergeCell ref="G26:G29"/>
    <mergeCell ref="A33:A36"/>
    <mergeCell ref="B33:B36"/>
    <mergeCell ref="C33:C36"/>
    <mergeCell ref="D33:D36"/>
    <mergeCell ref="E33:E36"/>
    <mergeCell ref="A26:A29"/>
    <mergeCell ref="B26:B29"/>
    <mergeCell ref="C26:C29"/>
    <mergeCell ref="D26:D29"/>
    <mergeCell ref="E26:E29"/>
    <mergeCell ref="F26:F29"/>
    <mergeCell ref="F22:F23"/>
    <mergeCell ref="G20:G21"/>
    <mergeCell ref="A22:A23"/>
    <mergeCell ref="B22:B23"/>
    <mergeCell ref="C22:C23"/>
    <mergeCell ref="D22:D23"/>
    <mergeCell ref="E22:E23"/>
    <mergeCell ref="A20:A21"/>
    <mergeCell ref="B20:B21"/>
    <mergeCell ref="C20:C21"/>
    <mergeCell ref="D20:D21"/>
    <mergeCell ref="E20:E21"/>
    <mergeCell ref="F20:F21"/>
    <mergeCell ref="F16:F19"/>
    <mergeCell ref="G10:G13"/>
    <mergeCell ref="A16:A19"/>
    <mergeCell ref="B16:B19"/>
    <mergeCell ref="C16:C19"/>
    <mergeCell ref="D16:D19"/>
    <mergeCell ref="E16:E19"/>
    <mergeCell ref="A10:A13"/>
    <mergeCell ref="B10:B13"/>
    <mergeCell ref="C10:C13"/>
    <mergeCell ref="D10:D13"/>
    <mergeCell ref="E10:E13"/>
    <mergeCell ref="F10:F13"/>
    <mergeCell ref="B2:F2"/>
    <mergeCell ref="A4:A6"/>
    <mergeCell ref="B4:B6"/>
    <mergeCell ref="C4:C6"/>
    <mergeCell ref="D4:D6"/>
    <mergeCell ref="A3:E3"/>
    <mergeCell ref="F3:G3"/>
    <mergeCell ref="E4:E6"/>
    <mergeCell ref="F4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user16</cp:lastModifiedBy>
  <cp:lastPrinted>2022-07-20T10:49:54Z</cp:lastPrinted>
  <dcterms:created xsi:type="dcterms:W3CDTF">2012-12-13T16:47:58Z</dcterms:created>
  <dcterms:modified xsi:type="dcterms:W3CDTF">2022-08-08T11:19:49Z</dcterms:modified>
  <cp:category/>
  <cp:version/>
  <cp:contentType/>
  <cp:contentStatus/>
</cp:coreProperties>
</file>